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hares\Office Applications\Budgets\FY 2020 - 2021\"/>
    </mc:Choice>
  </mc:AlternateContent>
  <bookViews>
    <workbookView xWindow="-120" yWindow="-120" windowWidth="20730" windowHeight="11160" tabRatio="928"/>
  </bookViews>
  <sheets>
    <sheet name="intro" sheetId="4" r:id="rId1"/>
    <sheet name="100-Genl" sheetId="5" r:id="rId2"/>
    <sheet name="110-Jury" sheetId="6" r:id="rId3"/>
    <sheet name="120-Bail Bond" sheetId="7" r:id="rId4"/>
    <sheet name="130-Protested Ppty Tax" sheetId="59" r:id="rId5"/>
    <sheet name="140-R &amp; B" sheetId="9" r:id="rId6"/>
    <sheet name="145-Road Damage" sheetId="37" r:id="rId7"/>
    <sheet name="160-Perm School" sheetId="56" r:id="rId8"/>
    <sheet name="180-Emer Mgm" sheetId="10" r:id="rId9"/>
    <sheet name="220-Constable" sheetId="11" r:id="rId10"/>
    <sheet name="240-Airport" sheetId="12" r:id="rId11"/>
    <sheet name="260-VIT" sheetId="13" r:id="rId12"/>
    <sheet name="270-HC Youth" sheetId="57" r:id="rId13"/>
    <sheet name="280-Capital Murder" sheetId="58" r:id="rId14"/>
    <sheet name="300-310-320-Technology" sheetId="14" r:id="rId15"/>
    <sheet name="330-Case Mgr" sheetId="38" r:id="rId16"/>
    <sheet name="410-Law Lib" sheetId="15" r:id="rId17"/>
    <sheet name="450-Juv Svcs" sheetId="16" r:id="rId18"/>
    <sheet name="460-Juv Grants" sheetId="17" r:id="rId19"/>
    <sheet name="470-Boot Camp" sheetId="18" r:id="rId20"/>
    <sheet name="490-Co Grants" sheetId="19" r:id="rId21"/>
    <sheet name="500-515-Records Mgm" sheetId="21" r:id="rId22"/>
    <sheet name="550-Security" sheetId="22" r:id="rId23"/>
    <sheet name="551-SubCH Sec" sheetId="23" r:id="rId24"/>
    <sheet name="560-Court-Init Guardianship" sheetId="43" r:id="rId25"/>
    <sheet name="570-6th Court of Appeals" sheetId="39" r:id="rId26"/>
    <sheet name="610-I &amp; S" sheetId="24" r:id="rId27"/>
    <sheet name="710-Perm Imp" sheetId="26" r:id="rId28"/>
    <sheet name="720-Jail Const" sheetId="27" r:id="rId29"/>
    <sheet name="730-CH Const" sheetId="33" r:id="rId30"/>
    <sheet name="740-Tobacco" sheetId="29" r:id="rId31"/>
    <sheet name="750-CH Maint" sheetId="28" r:id="rId32"/>
    <sheet name="890-DA Spec" sheetId="30" r:id="rId33"/>
    <sheet name="Recap" sheetId="31" r:id="rId34"/>
    <sheet name="Sal Inc" sheetId="32" r:id="rId35"/>
  </sheets>
  <definedNames>
    <definedName name="_xlnm.Print_Area" localSheetId="1">'100-Genl'!$A$1:$F$920</definedName>
    <definedName name="_xlnm.Print_Area" localSheetId="2">'110-Jury'!$A$1:$F$49</definedName>
    <definedName name="_xlnm.Print_Area" localSheetId="3">'120-Bail Bond'!$A$1:$F$31</definedName>
    <definedName name="_xlnm.Print_Area" localSheetId="4">'130-Protested Ppty Tax'!$A$1:$F$32</definedName>
    <definedName name="_xlnm.Print_Area" localSheetId="5">'140-R &amp; B'!$A$1:$F$133</definedName>
    <definedName name="_xlnm.Print_Area" localSheetId="6">'145-Road Damage'!$A$1:$F$32</definedName>
    <definedName name="_xlnm.Print_Area" localSheetId="7">'160-Perm School'!$A$1:$F$30</definedName>
    <definedName name="_xlnm.Print_Area" localSheetId="8">'180-Emer Mgm'!$A$1:$F$32</definedName>
    <definedName name="_xlnm.Print_Area" localSheetId="9">'220-Constable'!$A$1:$F$42</definedName>
    <definedName name="_xlnm.Print_Area" localSheetId="10">'240-Airport'!$A$1:$F$55</definedName>
    <definedName name="_xlnm.Print_Area" localSheetId="11">'260-VIT'!$A$1:$F$35</definedName>
    <definedName name="_xlnm.Print_Area" localSheetId="12">'270-HC Youth'!$A$1:$F$43</definedName>
    <definedName name="_xlnm.Print_Area" localSheetId="13">'280-Capital Murder'!$A$1:$F$30</definedName>
    <definedName name="_xlnm.Print_Area" localSheetId="14">'300-310-320-Technology'!$A$1:$F$105</definedName>
    <definedName name="_xlnm.Print_Area" localSheetId="15">'330-Case Mgr'!$A$1:$F$34</definedName>
    <definedName name="_xlnm.Print_Area" localSheetId="16">'410-Law Lib'!$A$1:$F$33</definedName>
    <definedName name="_xlnm.Print_Area" localSheetId="17">'450-Juv Svcs'!$A$1:$F$94</definedName>
    <definedName name="_xlnm.Print_Area" localSheetId="18">'460-Juv Grants'!$A$1:$F$119</definedName>
    <definedName name="_xlnm.Print_Area" localSheetId="19">'470-Boot Camp'!$A$1:$F$49</definedName>
    <definedName name="_xlnm.Print_Area" localSheetId="20">'490-Co Grants'!$A$1:$F$248</definedName>
    <definedName name="_xlnm.Print_Area" localSheetId="21">'500-515-Records Mgm'!$A$1:$F$212</definedName>
    <definedName name="_xlnm.Print_Area" localSheetId="22">'550-Security'!$A$1:$F$44</definedName>
    <definedName name="_xlnm.Print_Area" localSheetId="23">'551-SubCH Sec'!$A$1:$F$31</definedName>
    <definedName name="_xlnm.Print_Area" localSheetId="24">'560-Court-Init Guardianship'!$A$1:$F$28</definedName>
    <definedName name="_xlnm.Print_Area" localSheetId="25">'570-6th Court of Appeals'!$A$1:$F$31</definedName>
    <definedName name="_xlnm.Print_Area" localSheetId="26">'610-I &amp; S'!$A$1:$F$70</definedName>
    <definedName name="_xlnm.Print_Area" localSheetId="27">'710-Perm Imp'!$A$1:$F$41</definedName>
    <definedName name="_xlnm.Print_Area" localSheetId="28">'720-Jail Const'!$A$1:$F$36</definedName>
    <definedName name="_xlnm.Print_Area" localSheetId="29">'730-CH Const'!$A$1:$F$31</definedName>
    <definedName name="_xlnm.Print_Area" localSheetId="30">'740-Tobacco'!$A$1:$F$47</definedName>
    <definedName name="_xlnm.Print_Area" localSheetId="31">'750-CH Maint'!$A$1:$F$32</definedName>
    <definedName name="_xlnm.Print_Area" localSheetId="32">'890-DA Spec'!$A$1:$F$73</definedName>
    <definedName name="_xlnm.Print_Area" localSheetId="0">intro!$A$1:$H$560</definedName>
    <definedName name="_xlnm.Print_Area" localSheetId="33">Recap!$A$1:$F$59</definedName>
    <definedName name="_xlnm.Print_Titles" localSheetId="20">'490-Co Grants'!$50:$53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9" i="31" l="1"/>
  <c r="E49" i="31"/>
  <c r="E46" i="31"/>
  <c r="E40" i="31"/>
  <c r="C5" i="9"/>
  <c r="C9" i="9"/>
  <c r="C51" i="9" s="1"/>
  <c r="C127" i="9" s="1"/>
  <c r="C17" i="9"/>
  <c r="C24" i="9"/>
  <c r="C28" i="9"/>
  <c r="C38" i="9"/>
  <c r="C45" i="9"/>
  <c r="C49" i="9"/>
  <c r="C64" i="9"/>
  <c r="C67" i="9"/>
  <c r="C88" i="9"/>
  <c r="C115" i="9"/>
  <c r="C117" i="9" s="1"/>
  <c r="C129" i="9" s="1"/>
  <c r="C123" i="9"/>
  <c r="C4" i="59"/>
  <c r="C21" i="59" s="1"/>
  <c r="C9" i="59"/>
  <c r="C15" i="59"/>
  <c r="C25" i="59"/>
  <c r="C27" i="59"/>
  <c r="C31" i="59"/>
  <c r="C4" i="7"/>
  <c r="C21" i="7" s="1"/>
  <c r="C9" i="7"/>
  <c r="C15" i="7"/>
  <c r="C25" i="7"/>
  <c r="C27" i="7"/>
  <c r="C29" i="7"/>
  <c r="C133" i="9" l="1"/>
  <c r="F858" i="5"/>
  <c r="F583" i="5" l="1"/>
  <c r="F537" i="5" l="1"/>
  <c r="F515" i="5" l="1"/>
  <c r="F509" i="5"/>
  <c r="F224" i="5" l="1"/>
  <c r="D772" i="5" l="1"/>
  <c r="C772" i="5"/>
  <c r="F419" i="4" l="1"/>
  <c r="F464" i="4"/>
  <c r="D45" i="32" l="1"/>
  <c r="D43" i="32"/>
  <c r="D41" i="32"/>
  <c r="D39" i="32"/>
  <c r="D37" i="32"/>
  <c r="D29" i="32"/>
  <c r="D27" i="32"/>
  <c r="B9" i="32"/>
  <c r="F729" i="5"/>
  <c r="F724" i="5"/>
  <c r="F565" i="5"/>
  <c r="F71" i="9"/>
  <c r="F77" i="9" l="1"/>
  <c r="F70" i="9"/>
  <c r="F73" i="9" s="1"/>
  <c r="F23" i="6" l="1"/>
  <c r="F876" i="5"/>
  <c r="F872" i="5"/>
  <c r="F871" i="5"/>
  <c r="F846" i="5"/>
  <c r="F783" i="5"/>
  <c r="F31" i="17"/>
  <c r="F752" i="5"/>
  <c r="F772" i="5" s="1"/>
  <c r="F701" i="5"/>
  <c r="F690" i="5"/>
  <c r="F689" i="5"/>
  <c r="F688" i="5"/>
  <c r="F687" i="5"/>
  <c r="F686" i="5"/>
  <c r="F682" i="5"/>
  <c r="F25" i="22"/>
  <c r="F536" i="5"/>
  <c r="F530" i="5"/>
  <c r="F529" i="5"/>
  <c r="F532" i="5"/>
  <c r="F498" i="5" l="1"/>
  <c r="F493" i="5"/>
  <c r="F480" i="5"/>
  <c r="F475" i="5"/>
  <c r="F461" i="5"/>
  <c r="F457" i="5"/>
  <c r="F446" i="5"/>
  <c r="F424" i="5"/>
  <c r="F396" i="5"/>
  <c r="F392" i="5"/>
  <c r="F378" i="5"/>
  <c r="F374" i="5"/>
  <c r="F359" i="5"/>
  <c r="F355" i="5"/>
  <c r="F341" i="5"/>
  <c r="F337" i="5"/>
  <c r="F321" i="5"/>
  <c r="F314" i="5"/>
  <c r="F311" i="5"/>
  <c r="F296" i="5"/>
  <c r="F292" i="5"/>
  <c r="F291" i="5"/>
  <c r="F271" i="5"/>
  <c r="F265" i="5"/>
  <c r="F255" i="5"/>
  <c r="F249" i="5"/>
  <c r="F196" i="5"/>
  <c r="F192" i="5"/>
  <c r="F165" i="5"/>
  <c r="F160" i="5"/>
  <c r="F148" i="5"/>
  <c r="F143" i="5"/>
  <c r="F132" i="5"/>
  <c r="E378" i="4" l="1"/>
  <c r="F429" i="5" l="1"/>
  <c r="F15" i="14" l="1"/>
  <c r="F821" i="5" l="1"/>
  <c r="F805" i="5" l="1"/>
  <c r="F333" i="5" l="1"/>
  <c r="D333" i="5"/>
  <c r="C333" i="5"/>
  <c r="F420" i="5" l="1"/>
  <c r="E420" i="5"/>
  <c r="D420" i="5"/>
  <c r="C420" i="5"/>
  <c r="F834" i="5" l="1"/>
  <c r="D834" i="5"/>
  <c r="C834" i="5"/>
  <c r="D716" i="5"/>
  <c r="C716" i="5"/>
  <c r="F42" i="9"/>
  <c r="H548" i="4"/>
  <c r="G549" i="4"/>
  <c r="F114" i="9" s="1"/>
  <c r="F549" i="4"/>
  <c r="F113" i="9" s="1"/>
  <c r="H528" i="4"/>
  <c r="D6" i="5" l="1"/>
  <c r="F23" i="24" l="1"/>
  <c r="H527" i="4"/>
  <c r="G503" i="4"/>
  <c r="F26" i="24" s="1"/>
  <c r="F503" i="4"/>
  <c r="F25" i="24" s="1"/>
  <c r="G502" i="4"/>
  <c r="F24" i="24" s="1"/>
  <c r="F19" i="27" l="1"/>
  <c r="E19" i="27"/>
  <c r="D19" i="27"/>
  <c r="C19" i="27"/>
  <c r="F15" i="27"/>
  <c r="E15" i="27"/>
  <c r="D15" i="27"/>
  <c r="C15" i="27"/>
  <c r="E9" i="26"/>
  <c r="D9" i="26"/>
  <c r="C9" i="26"/>
  <c r="F12" i="26"/>
  <c r="E12" i="26"/>
  <c r="D12" i="26"/>
  <c r="C12" i="26"/>
  <c r="C14" i="26" s="1"/>
  <c r="D52" i="24"/>
  <c r="C52" i="24"/>
  <c r="F21" i="24"/>
  <c r="E21" i="24"/>
  <c r="D21" i="24"/>
  <c r="C21" i="24"/>
  <c r="E11" i="24"/>
  <c r="E16" i="24" s="1"/>
  <c r="D11" i="24"/>
  <c r="C11" i="24"/>
  <c r="C16" i="24" s="1"/>
  <c r="F14" i="24"/>
  <c r="E14" i="24"/>
  <c r="D14" i="24"/>
  <c r="C14" i="24"/>
  <c r="F14" i="22"/>
  <c r="E14" i="22"/>
  <c r="E16" i="22" s="1"/>
  <c r="D14" i="22"/>
  <c r="C14" i="22"/>
  <c r="F11" i="22"/>
  <c r="E11" i="22"/>
  <c r="D11" i="22"/>
  <c r="C11" i="22"/>
  <c r="C230" i="19"/>
  <c r="F230" i="19"/>
  <c r="E230" i="19"/>
  <c r="D230" i="19"/>
  <c r="F213" i="19"/>
  <c r="E213" i="19"/>
  <c r="D213" i="19"/>
  <c r="C213" i="19"/>
  <c r="F226" i="19"/>
  <c r="E226" i="19"/>
  <c r="D226" i="19"/>
  <c r="C226" i="19"/>
  <c r="F220" i="19"/>
  <c r="E220" i="19"/>
  <c r="D220" i="19"/>
  <c r="C220" i="19"/>
  <c r="F216" i="19"/>
  <c r="E216" i="19"/>
  <c r="D216" i="19"/>
  <c r="C216" i="19"/>
  <c r="F32" i="18"/>
  <c r="E32" i="18"/>
  <c r="D32" i="18"/>
  <c r="C32" i="18"/>
  <c r="F18" i="18"/>
  <c r="E18" i="18"/>
  <c r="D18" i="18"/>
  <c r="C18" i="18"/>
  <c r="F31" i="16"/>
  <c r="E31" i="16"/>
  <c r="D31" i="16"/>
  <c r="C31" i="16"/>
  <c r="F11" i="10"/>
  <c r="E10" i="31" s="1"/>
  <c r="E11" i="10"/>
  <c r="D11" i="10"/>
  <c r="C11" i="10"/>
  <c r="F67" i="9"/>
  <c r="E67" i="9"/>
  <c r="D67" i="9"/>
  <c r="F49" i="9"/>
  <c r="D49" i="9"/>
  <c r="E48" i="9"/>
  <c r="E49" i="9" s="1"/>
  <c r="D34" i="18" l="1"/>
  <c r="C21" i="27"/>
  <c r="C54" i="24"/>
  <c r="F21" i="27"/>
  <c r="F32" i="27" s="1"/>
  <c r="D21" i="27"/>
  <c r="E21" i="27"/>
  <c r="F16" i="22"/>
  <c r="F37" i="22" s="1"/>
  <c r="C16" i="22"/>
  <c r="D14" i="26"/>
  <c r="D16" i="24"/>
  <c r="D54" i="24"/>
  <c r="E14" i="26"/>
  <c r="D16" i="22"/>
  <c r="F56" i="30"/>
  <c r="F52" i="30"/>
  <c r="F45" i="30"/>
  <c r="F36" i="30"/>
  <c r="F22" i="30"/>
  <c r="F18" i="30"/>
  <c r="F13" i="30"/>
  <c r="F7" i="30"/>
  <c r="F4" i="30"/>
  <c r="F63" i="30" s="1"/>
  <c r="F15" i="28"/>
  <c r="E34" i="31" s="1"/>
  <c r="F10" i="28"/>
  <c r="F4" i="28"/>
  <c r="F20" i="28" s="1"/>
  <c r="F31" i="29"/>
  <c r="E33" i="31" s="1"/>
  <c r="F8" i="29"/>
  <c r="F4" i="29"/>
  <c r="F36" i="29" s="1"/>
  <c r="F16" i="33"/>
  <c r="F27" i="33" s="1"/>
  <c r="F11" i="33"/>
  <c r="F25" i="33" s="1"/>
  <c r="F4" i="33"/>
  <c r="F21" i="33" s="1"/>
  <c r="F10" i="27"/>
  <c r="F30" i="27" s="1"/>
  <c r="F4" i="27"/>
  <c r="F26" i="27" s="1"/>
  <c r="F25" i="26"/>
  <c r="F4" i="26"/>
  <c r="F30" i="26" s="1"/>
  <c r="F4" i="24"/>
  <c r="F60" i="24" s="1"/>
  <c r="F14" i="39"/>
  <c r="F25" i="39" s="1"/>
  <c r="F9" i="39"/>
  <c r="F23" i="39" s="1"/>
  <c r="F4" i="39"/>
  <c r="F19" i="39" s="1"/>
  <c r="F12" i="43"/>
  <c r="F23" i="43" s="1"/>
  <c r="F8" i="43"/>
  <c r="F21" i="43" s="1"/>
  <c r="F4" i="43"/>
  <c r="F17" i="43" s="1"/>
  <c r="F16" i="23"/>
  <c r="F8" i="23"/>
  <c r="F25" i="23" s="1"/>
  <c r="F4" i="23"/>
  <c r="F21" i="23" s="1"/>
  <c r="F4" i="22"/>
  <c r="F33" i="22" s="1"/>
  <c r="F197" i="21"/>
  <c r="F208" i="21" s="1"/>
  <c r="F193" i="21"/>
  <c r="F206" i="21" s="1"/>
  <c r="F167" i="21"/>
  <c r="F178" i="21" s="1"/>
  <c r="F163" i="21"/>
  <c r="F176" i="21" s="1"/>
  <c r="F136" i="21"/>
  <c r="F147" i="21" s="1"/>
  <c r="F132" i="21"/>
  <c r="F145" i="21" s="1"/>
  <c r="F106" i="21"/>
  <c r="F117" i="21" s="1"/>
  <c r="F101" i="21"/>
  <c r="F115" i="21" s="1"/>
  <c r="F76" i="21"/>
  <c r="F87" i="21" s="1"/>
  <c r="F71" i="21"/>
  <c r="F85" i="21" s="1"/>
  <c r="F44" i="21"/>
  <c r="F55" i="21" s="1"/>
  <c r="F40" i="21"/>
  <c r="F53" i="21" s="1"/>
  <c r="F13" i="21"/>
  <c r="F24" i="21" s="1"/>
  <c r="F9" i="21"/>
  <c r="F22" i="21" s="1"/>
  <c r="F4" i="21"/>
  <c r="F202" i="21" s="1"/>
  <c r="F207" i="19"/>
  <c r="F201" i="19"/>
  <c r="F195" i="19"/>
  <c r="F189" i="19"/>
  <c r="F183" i="19"/>
  <c r="F177" i="19"/>
  <c r="F171" i="19"/>
  <c r="F167" i="19"/>
  <c r="F163" i="19"/>
  <c r="F157" i="19"/>
  <c r="F153" i="19"/>
  <c r="F149" i="19"/>
  <c r="F143" i="19"/>
  <c r="F139" i="19"/>
  <c r="F135" i="19"/>
  <c r="F131" i="19"/>
  <c r="F127" i="19"/>
  <c r="F123" i="19"/>
  <c r="F119" i="19"/>
  <c r="F115" i="19"/>
  <c r="F111" i="19"/>
  <c r="F107" i="19"/>
  <c r="F103" i="19"/>
  <c r="F98" i="19"/>
  <c r="F94" i="19"/>
  <c r="F87" i="19"/>
  <c r="F83" i="19"/>
  <c r="F73" i="19"/>
  <c r="F64" i="19"/>
  <c r="F56" i="19"/>
  <c r="F41" i="19"/>
  <c r="F37" i="19"/>
  <c r="F5" i="19"/>
  <c r="F238" i="19" s="1"/>
  <c r="F34" i="18"/>
  <c r="F45" i="18" s="1"/>
  <c r="F13" i="18"/>
  <c r="F43" i="18" s="1"/>
  <c r="F4" i="18"/>
  <c r="F39" i="18" s="1"/>
  <c r="F101" i="17"/>
  <c r="F97" i="17"/>
  <c r="F86" i="17"/>
  <c r="F82" i="17"/>
  <c r="F73" i="17"/>
  <c r="F69" i="17"/>
  <c r="F65" i="17"/>
  <c r="F58" i="17"/>
  <c r="F53" i="17"/>
  <c r="F47" i="17"/>
  <c r="F43" i="17"/>
  <c r="F18" i="17"/>
  <c r="F20" i="17" s="1"/>
  <c r="F112" i="17" s="1"/>
  <c r="F4" i="17"/>
  <c r="F108" i="17" s="1"/>
  <c r="F77" i="16"/>
  <c r="F36" i="16"/>
  <c r="F63" i="16" s="1"/>
  <c r="F28" i="16"/>
  <c r="F21" i="16"/>
  <c r="F13" i="16"/>
  <c r="F4" i="16"/>
  <c r="F84" i="16" s="1"/>
  <c r="F16" i="15"/>
  <c r="F27" i="15" s="1"/>
  <c r="F10" i="15"/>
  <c r="F25" i="15" s="1"/>
  <c r="F4" i="15"/>
  <c r="F21" i="15" s="1"/>
  <c r="F18" i="38"/>
  <c r="F29" i="38" s="1"/>
  <c r="F9" i="38"/>
  <c r="F27" i="38" s="1"/>
  <c r="F4" i="38"/>
  <c r="F23" i="38" s="1"/>
  <c r="F89" i="14"/>
  <c r="F100" i="14" s="1"/>
  <c r="F84" i="14"/>
  <c r="F98" i="14" s="1"/>
  <c r="F54" i="14"/>
  <c r="F65" i="14" s="1"/>
  <c r="F49" i="14"/>
  <c r="F63" i="14" s="1"/>
  <c r="F21" i="14"/>
  <c r="F32" i="14" s="1"/>
  <c r="F8" i="14"/>
  <c r="F30" i="14" s="1"/>
  <c r="F4" i="14"/>
  <c r="F94" i="14" s="1"/>
  <c r="F14" i="58"/>
  <c r="E28" i="31" s="1"/>
  <c r="F9" i="58"/>
  <c r="F4" i="58"/>
  <c r="F20" i="58" s="1"/>
  <c r="F26" i="57"/>
  <c r="F38" i="57" s="1"/>
  <c r="F8" i="57"/>
  <c r="F36" i="57" s="1"/>
  <c r="F4" i="57"/>
  <c r="F32" i="57" s="1"/>
  <c r="F16" i="13"/>
  <c r="F28" i="13" s="1"/>
  <c r="F9" i="13"/>
  <c r="F26" i="13" s="1"/>
  <c r="F4" i="13"/>
  <c r="F22" i="13" s="1"/>
  <c r="F38" i="12"/>
  <c r="F49" i="12" s="1"/>
  <c r="E27" i="31" s="1"/>
  <c r="F19" i="12"/>
  <c r="F4" i="12"/>
  <c r="F43" i="12" s="1"/>
  <c r="F25" i="11"/>
  <c r="F37" i="11" s="1"/>
  <c r="F14" i="11"/>
  <c r="F35" i="11" s="1"/>
  <c r="F4" i="11"/>
  <c r="F31" i="11" s="1"/>
  <c r="F16" i="10"/>
  <c r="E26" i="31" s="1"/>
  <c r="F26" i="10"/>
  <c r="F4" i="10"/>
  <c r="F22" i="10" s="1"/>
  <c r="F14" i="56"/>
  <c r="F26" i="56" s="1"/>
  <c r="F8" i="56"/>
  <c r="F24" i="56" s="1"/>
  <c r="F4" i="56"/>
  <c r="F20" i="56" s="1"/>
  <c r="F13" i="37"/>
  <c r="F25" i="37" s="1"/>
  <c r="F8" i="37"/>
  <c r="F23" i="37" s="1"/>
  <c r="F4" i="37"/>
  <c r="F19" i="37" s="1"/>
  <c r="F88" i="9"/>
  <c r="F45" i="9"/>
  <c r="F38" i="9"/>
  <c r="F28" i="9"/>
  <c r="F24" i="9"/>
  <c r="F17" i="9"/>
  <c r="F5" i="9"/>
  <c r="F123" i="9" s="1"/>
  <c r="F15" i="59"/>
  <c r="E24" i="31" s="1"/>
  <c r="F9" i="59"/>
  <c r="E8" i="31" s="1"/>
  <c r="F4" i="59"/>
  <c r="F21" i="59" s="1"/>
  <c r="F15" i="7"/>
  <c r="F27" i="7" s="1"/>
  <c r="F9" i="7"/>
  <c r="F25" i="7" s="1"/>
  <c r="F4" i="7"/>
  <c r="F21" i="7" s="1"/>
  <c r="F32" i="6"/>
  <c r="F4" i="6"/>
  <c r="F38" i="6" s="1"/>
  <c r="F58" i="30" l="1"/>
  <c r="F68" i="30" s="1"/>
  <c r="F103" i="17"/>
  <c r="F114" i="17" s="1"/>
  <c r="F26" i="58"/>
  <c r="F25" i="59"/>
  <c r="F24" i="58"/>
  <c r="E12" i="31"/>
  <c r="F26" i="28"/>
  <c r="F27" i="59"/>
  <c r="F28" i="10"/>
  <c r="F24" i="30"/>
  <c r="F66" i="30" s="1"/>
  <c r="F24" i="28"/>
  <c r="E18" i="31"/>
  <c r="F40" i="29"/>
  <c r="E17" i="31"/>
  <c r="F44" i="6"/>
  <c r="E23" i="31"/>
  <c r="F42" i="29"/>
  <c r="F36" i="26"/>
  <c r="E32" i="31"/>
  <c r="F28" i="22"/>
  <c r="F39" i="22" s="1"/>
  <c r="F233" i="19"/>
  <c r="F244" i="19" s="1"/>
  <c r="F43" i="19"/>
  <c r="F242" i="19" s="1"/>
  <c r="F79" i="16"/>
  <c r="F67" i="16"/>
  <c r="F64" i="9"/>
  <c r="F35" i="21"/>
  <c r="F66" i="21"/>
  <c r="F97" i="21"/>
  <c r="F159" i="21"/>
  <c r="F189" i="21"/>
  <c r="F128" i="21"/>
  <c r="F18" i="21"/>
  <c r="F49" i="21"/>
  <c r="F81" i="21"/>
  <c r="F111" i="21"/>
  <c r="F141" i="21"/>
  <c r="F172" i="21"/>
  <c r="F53" i="19"/>
  <c r="F61" i="17"/>
  <c r="F44" i="14"/>
  <c r="F79" i="14"/>
  <c r="F26" i="14"/>
  <c r="F59" i="14"/>
  <c r="E109" i="5"/>
  <c r="E110" i="5" s="1"/>
  <c r="E120" i="5"/>
  <c r="F120" i="5"/>
  <c r="D120" i="5"/>
  <c r="C120" i="5"/>
  <c r="F110" i="5"/>
  <c r="D110" i="5"/>
  <c r="C110" i="5"/>
  <c r="D287" i="5"/>
  <c r="F910" i="5"/>
  <c r="F902" i="5"/>
  <c r="F894" i="5"/>
  <c r="F885" i="5"/>
  <c r="F868" i="5"/>
  <c r="F862" i="5"/>
  <c r="F838" i="5"/>
  <c r="F812" i="5"/>
  <c r="F801" i="5"/>
  <c r="F788" i="5"/>
  <c r="F776" i="5"/>
  <c r="F743" i="5"/>
  <c r="F720" i="5"/>
  <c r="F679" i="5"/>
  <c r="F675" i="5"/>
  <c r="F654" i="5"/>
  <c r="F634" i="5"/>
  <c r="F630" i="5"/>
  <c r="F610" i="5"/>
  <c r="F590" i="5"/>
  <c r="F586" i="5"/>
  <c r="F526" i="5"/>
  <c r="F522" i="5"/>
  <c r="F505" i="5"/>
  <c r="F472" i="5"/>
  <c r="F463" i="5"/>
  <c r="F409" i="5"/>
  <c r="F405" i="5"/>
  <c r="F388" i="5"/>
  <c r="F371" i="5"/>
  <c r="F308" i="5"/>
  <c r="F287" i="5"/>
  <c r="F246" i="5"/>
  <c r="F242" i="5"/>
  <c r="F184" i="5"/>
  <c r="F188" i="5" s="1"/>
  <c r="F178" i="5"/>
  <c r="F140" i="5"/>
  <c r="F117" i="5"/>
  <c r="F106" i="5"/>
  <c r="F88" i="5"/>
  <c r="F66" i="5"/>
  <c r="F62" i="5"/>
  <c r="F28" i="5"/>
  <c r="F15" i="5"/>
  <c r="F716" i="5" l="1"/>
  <c r="F453" i="5"/>
  <c r="F90" i="16"/>
  <c r="E29" i="31"/>
  <c r="F881" i="5"/>
  <c r="F174" i="5"/>
  <c r="F468" i="5"/>
  <c r="F489" i="5"/>
  <c r="F278" i="5"/>
  <c r="F210" i="5"/>
  <c r="F351" i="5"/>
  <c r="F367" i="5"/>
  <c r="F553" i="5"/>
  <c r="F156" i="5"/>
  <c r="F304" i="5"/>
  <c r="F261" i="5"/>
  <c r="F437" i="5"/>
  <c r="E441" i="5"/>
  <c r="E446" i="5" l="1"/>
  <c r="E38" i="16" l="1"/>
  <c r="E316" i="5" l="1"/>
  <c r="E791" i="5" l="1"/>
  <c r="E860" i="5"/>
  <c r="E688" i="5" l="1"/>
  <c r="E872" i="5" l="1"/>
  <c r="E871" i="5"/>
  <c r="E77" i="9"/>
  <c r="E70" i="9"/>
  <c r="E752" i="5" l="1"/>
  <c r="E772" i="5" s="1"/>
  <c r="E689" i="5"/>
  <c r="E690" i="5"/>
  <c r="E685" i="5"/>
  <c r="E682" i="5"/>
  <c r="E19" i="22"/>
  <c r="E536" i="5"/>
  <c r="E532" i="5"/>
  <c r="E530" i="5"/>
  <c r="E529" i="5"/>
  <c r="E509" i="5"/>
  <c r="E493" i="5"/>
  <c r="E475" i="5"/>
  <c r="E457" i="5"/>
  <c r="E424" i="5"/>
  <c r="E392" i="5"/>
  <c r="E374" i="5"/>
  <c r="E355" i="5"/>
  <c r="E337" i="5"/>
  <c r="E314" i="5"/>
  <c r="E311" i="5"/>
  <c r="E292" i="5"/>
  <c r="E291" i="5" s="1"/>
  <c r="E265" i="5"/>
  <c r="E249" i="5"/>
  <c r="E192" i="5"/>
  <c r="E160" i="5"/>
  <c r="E143" i="5"/>
  <c r="Q365" i="4" l="1"/>
  <c r="Q374" i="4"/>
  <c r="Q368" i="4"/>
  <c r="E380" i="4" l="1"/>
  <c r="I393" i="4" l="1"/>
  <c r="I392" i="4"/>
  <c r="I391" i="4"/>
  <c r="I390" i="4"/>
  <c r="I389" i="4"/>
  <c r="I388" i="4"/>
  <c r="I387" i="4"/>
  <c r="E45" i="30" l="1"/>
  <c r="E805" i="5"/>
  <c r="E687" i="5"/>
  <c r="E686" i="5"/>
  <c r="E716" i="5" s="1"/>
  <c r="E701" i="5"/>
  <c r="E25" i="22"/>
  <c r="E255" i="5"/>
  <c r="D18" i="38" l="1"/>
  <c r="C18" i="38"/>
  <c r="E18" i="38" l="1"/>
  <c r="D31" i="32" l="1"/>
  <c r="D25" i="32"/>
  <c r="E132" i="5"/>
  <c r="E23" i="6" l="1"/>
  <c r="E876" i="5"/>
  <c r="C862" i="5"/>
  <c r="E862" i="5"/>
  <c r="E846" i="5"/>
  <c r="E821" i="5"/>
  <c r="E834" i="5" s="1"/>
  <c r="E783" i="5"/>
  <c r="E729" i="5"/>
  <c r="E515" i="5"/>
  <c r="E498" i="5"/>
  <c r="E480" i="5"/>
  <c r="E461" i="5"/>
  <c r="E429" i="5"/>
  <c r="E396" i="5"/>
  <c r="E378" i="5"/>
  <c r="E359" i="5"/>
  <c r="E341" i="5"/>
  <c r="E321" i="5"/>
  <c r="E333" i="5" s="1"/>
  <c r="E296" i="5"/>
  <c r="E271" i="5"/>
  <c r="E196" i="5"/>
  <c r="E184" i="5"/>
  <c r="E165" i="5"/>
  <c r="E148" i="5"/>
  <c r="M371" i="4" l="1"/>
  <c r="Q371" i="4" s="1"/>
  <c r="H524" i="4" l="1"/>
  <c r="G526" i="4"/>
  <c r="H526" i="4" s="1"/>
  <c r="H529" i="4" s="1"/>
  <c r="H546" i="4"/>
  <c r="E52" i="24" l="1"/>
  <c r="E54" i="24" s="1"/>
  <c r="E56" i="30" l="1"/>
  <c r="D56" i="30"/>
  <c r="C56" i="30"/>
  <c r="C71" i="21"/>
  <c r="E171" i="19"/>
  <c r="D171" i="19"/>
  <c r="C171" i="19"/>
  <c r="E58" i="17"/>
  <c r="D58" i="17"/>
  <c r="C58" i="17"/>
  <c r="E8" i="57"/>
  <c r="E36" i="57" s="1"/>
  <c r="D8" i="57"/>
  <c r="C8" i="57"/>
  <c r="C852" i="5"/>
  <c r="E654" i="5"/>
  <c r="D654" i="5"/>
  <c r="C654" i="5"/>
  <c r="C610" i="5"/>
  <c r="E287" i="5"/>
  <c r="E66" i="5"/>
  <c r="D66" i="5"/>
  <c r="E117" i="5"/>
  <c r="D117" i="5"/>
  <c r="E178" i="5"/>
  <c r="D178" i="5"/>
  <c r="E246" i="5"/>
  <c r="D246" i="5"/>
  <c r="E308" i="5"/>
  <c r="D308" i="5"/>
  <c r="E371" i="5"/>
  <c r="D371" i="5"/>
  <c r="E409" i="5"/>
  <c r="D409" i="5"/>
  <c r="E472" i="5"/>
  <c r="D472" i="5"/>
  <c r="E526" i="5"/>
  <c r="D526" i="5"/>
  <c r="E590" i="5"/>
  <c r="D590" i="5"/>
  <c r="E634" i="5"/>
  <c r="D634" i="5"/>
  <c r="E679" i="5"/>
  <c r="D679" i="5"/>
  <c r="E720" i="5"/>
  <c r="D720" i="5"/>
  <c r="E776" i="5"/>
  <c r="D776" i="5"/>
  <c r="E838" i="5"/>
  <c r="D838" i="5"/>
  <c r="E885" i="5"/>
  <c r="D885" i="5"/>
  <c r="E910" i="5"/>
  <c r="D910" i="5"/>
  <c r="C910" i="5"/>
  <c r="C885" i="5"/>
  <c r="C838" i="5"/>
  <c r="C776" i="5"/>
  <c r="C720" i="5"/>
  <c r="C679" i="5"/>
  <c r="C634" i="5"/>
  <c r="C590" i="5"/>
  <c r="C526" i="5"/>
  <c r="C472" i="5"/>
  <c r="C409" i="5"/>
  <c r="C371" i="5"/>
  <c r="C308" i="5"/>
  <c r="C246" i="5"/>
  <c r="C178" i="5"/>
  <c r="C117" i="5"/>
  <c r="C66" i="5"/>
  <c r="E188" i="5"/>
  <c r="D188" i="5"/>
  <c r="C188" i="5"/>
  <c r="E157" i="4"/>
  <c r="E209" i="4" s="1"/>
  <c r="E261" i="4" s="1"/>
  <c r="E52" i="30"/>
  <c r="E36" i="30"/>
  <c r="E22" i="30"/>
  <c r="E18" i="30"/>
  <c r="E13" i="30"/>
  <c r="E7" i="30"/>
  <c r="E4" i="30"/>
  <c r="E63" i="30" s="1"/>
  <c r="E15" i="28"/>
  <c r="E10" i="28"/>
  <c r="E24" i="28" s="1"/>
  <c r="C18" i="31" s="1"/>
  <c r="E4" i="28"/>
  <c r="E20" i="28" s="1"/>
  <c r="E31" i="29"/>
  <c r="E8" i="29"/>
  <c r="E4" i="29"/>
  <c r="E36" i="29" s="1"/>
  <c r="E16" i="33"/>
  <c r="E27" i="33" s="1"/>
  <c r="E11" i="33"/>
  <c r="E25" i="33" s="1"/>
  <c r="E4" i="33"/>
  <c r="E21" i="33" s="1"/>
  <c r="E32" i="27"/>
  <c r="E10" i="27"/>
  <c r="E30" i="27" s="1"/>
  <c r="E4" i="27"/>
  <c r="E26" i="27" s="1"/>
  <c r="E25" i="26"/>
  <c r="E4" i="26"/>
  <c r="E30" i="26" s="1"/>
  <c r="E4" i="24"/>
  <c r="E60" i="24" s="1"/>
  <c r="E14" i="39"/>
  <c r="E25" i="39" s="1"/>
  <c r="E9" i="39"/>
  <c r="E23" i="39" s="1"/>
  <c r="E4" i="39"/>
  <c r="E19" i="39" s="1"/>
  <c r="E23" i="43"/>
  <c r="E12" i="43"/>
  <c r="E8" i="43"/>
  <c r="E21" i="43" s="1"/>
  <c r="E4" i="43"/>
  <c r="E17" i="43" s="1"/>
  <c r="E16" i="23"/>
  <c r="E27" i="23" s="1"/>
  <c r="E8" i="23"/>
  <c r="E25" i="23" s="1"/>
  <c r="E4" i="23"/>
  <c r="E21" i="23" s="1"/>
  <c r="E28" i="22"/>
  <c r="E39" i="22" s="1"/>
  <c r="E37" i="22"/>
  <c r="E4" i="22"/>
  <c r="E33" i="22" s="1"/>
  <c r="E197" i="21"/>
  <c r="E208" i="21" s="1"/>
  <c r="E193" i="21"/>
  <c r="E206" i="21" s="1"/>
  <c r="E167" i="21"/>
  <c r="E178" i="21" s="1"/>
  <c r="E163" i="21"/>
  <c r="E176" i="21" s="1"/>
  <c r="E136" i="21"/>
  <c r="E147" i="21" s="1"/>
  <c r="E132" i="21"/>
  <c r="E145" i="21" s="1"/>
  <c r="E106" i="21"/>
  <c r="E117" i="21" s="1"/>
  <c r="E101" i="21"/>
  <c r="E115" i="21" s="1"/>
  <c r="E76" i="21"/>
  <c r="E87" i="21" s="1"/>
  <c r="E71" i="21"/>
  <c r="E85" i="21" s="1"/>
  <c r="E44" i="21"/>
  <c r="E55" i="21" s="1"/>
  <c r="E40" i="21"/>
  <c r="E53" i="21" s="1"/>
  <c r="E13" i="21"/>
  <c r="E24" i="21" s="1"/>
  <c r="E9" i="21"/>
  <c r="E22" i="21" s="1"/>
  <c r="E4" i="21"/>
  <c r="E207" i="19"/>
  <c r="E201" i="19"/>
  <c r="E195" i="19"/>
  <c r="E189" i="19"/>
  <c r="E183" i="19"/>
  <c r="E177" i="19"/>
  <c r="E167" i="19"/>
  <c r="E163" i="19"/>
  <c r="E157" i="19"/>
  <c r="E153" i="19"/>
  <c r="E149" i="19"/>
  <c r="E143" i="19"/>
  <c r="E139" i="19"/>
  <c r="E135" i="19"/>
  <c r="E131" i="19"/>
  <c r="E127" i="19"/>
  <c r="E123" i="19"/>
  <c r="E119" i="19"/>
  <c r="E115" i="19"/>
  <c r="E111" i="19"/>
  <c r="E107" i="19"/>
  <c r="E103" i="19"/>
  <c r="E98" i="19"/>
  <c r="E94" i="19"/>
  <c r="E87" i="19"/>
  <c r="E83" i="19"/>
  <c r="E73" i="19"/>
  <c r="E64" i="19"/>
  <c r="E56" i="19"/>
  <c r="E41" i="19"/>
  <c r="E37" i="19"/>
  <c r="E43" i="19" s="1"/>
  <c r="E242" i="19" s="1"/>
  <c r="E5" i="19"/>
  <c r="E238" i="19" s="1"/>
  <c r="E34" i="18"/>
  <c r="E13" i="18"/>
  <c r="E4" i="18"/>
  <c r="E39" i="18" s="1"/>
  <c r="E101" i="17"/>
  <c r="E97" i="17"/>
  <c r="E86" i="17"/>
  <c r="E82" i="17"/>
  <c r="E73" i="17"/>
  <c r="E69" i="17"/>
  <c r="E65" i="17"/>
  <c r="E53" i="17"/>
  <c r="E47" i="17"/>
  <c r="E43" i="17"/>
  <c r="E18" i="17"/>
  <c r="E20" i="17" s="1"/>
  <c r="E112" i="17" s="1"/>
  <c r="E4" i="17"/>
  <c r="E108" i="17" s="1"/>
  <c r="E77" i="16"/>
  <c r="E36" i="16"/>
  <c r="E63" i="16" s="1"/>
  <c r="E28" i="16"/>
  <c r="E21" i="16"/>
  <c r="E13" i="16"/>
  <c r="E4" i="16"/>
  <c r="E84" i="16" s="1"/>
  <c r="E16" i="15"/>
  <c r="E27" i="15" s="1"/>
  <c r="E10" i="15"/>
  <c r="E25" i="15" s="1"/>
  <c r="E4" i="15"/>
  <c r="E21" i="15" s="1"/>
  <c r="E29" i="38"/>
  <c r="E9" i="38"/>
  <c r="E27" i="38" s="1"/>
  <c r="E4" i="38"/>
  <c r="E23" i="38" s="1"/>
  <c r="E89" i="14"/>
  <c r="E100" i="14" s="1"/>
  <c r="E84" i="14"/>
  <c r="E98" i="14" s="1"/>
  <c r="E54" i="14"/>
  <c r="E65" i="14" s="1"/>
  <c r="E49" i="14"/>
  <c r="E63" i="14" s="1"/>
  <c r="E21" i="14"/>
  <c r="E32" i="14" s="1"/>
  <c r="E8" i="14"/>
  <c r="E30" i="14" s="1"/>
  <c r="E4" i="14"/>
  <c r="E94" i="14" s="1"/>
  <c r="E14" i="58"/>
  <c r="E9" i="58"/>
  <c r="E4" i="58"/>
  <c r="E20" i="58" s="1"/>
  <c r="E26" i="57"/>
  <c r="E38" i="57" s="1"/>
  <c r="E4" i="57"/>
  <c r="E32" i="57" s="1"/>
  <c r="E16" i="13"/>
  <c r="E28" i="13" s="1"/>
  <c r="E9" i="13"/>
  <c r="E26" i="13" s="1"/>
  <c r="E4" i="13"/>
  <c r="E22" i="13" s="1"/>
  <c r="E38" i="12"/>
  <c r="E49" i="12" s="1"/>
  <c r="C27" i="31" s="1"/>
  <c r="E19" i="12"/>
  <c r="E4" i="12"/>
  <c r="E43" i="12" s="1"/>
  <c r="E25" i="11"/>
  <c r="E37" i="11" s="1"/>
  <c r="E14" i="11"/>
  <c r="E35" i="11" s="1"/>
  <c r="E4" i="11"/>
  <c r="E31" i="11" s="1"/>
  <c r="E16" i="10"/>
  <c r="E26" i="10"/>
  <c r="C10" i="31" s="1"/>
  <c r="E4" i="10"/>
  <c r="E22" i="10" s="1"/>
  <c r="E14" i="56"/>
  <c r="E26" i="56" s="1"/>
  <c r="E8" i="56"/>
  <c r="E24" i="56" s="1"/>
  <c r="E4" i="56"/>
  <c r="E20" i="56" s="1"/>
  <c r="E13" i="37"/>
  <c r="E25" i="37" s="1"/>
  <c r="E8" i="37"/>
  <c r="E23" i="37" s="1"/>
  <c r="E4" i="37"/>
  <c r="E19" i="37" s="1"/>
  <c r="E71" i="9"/>
  <c r="E45" i="9"/>
  <c r="E38" i="9"/>
  <c r="E28" i="9"/>
  <c r="E24" i="9"/>
  <c r="E17" i="9"/>
  <c r="E5" i="9"/>
  <c r="E123" i="9" s="1"/>
  <c r="E15" i="59"/>
  <c r="E9" i="59"/>
  <c r="E4" i="59"/>
  <c r="E21" i="59" s="1"/>
  <c r="E15" i="7"/>
  <c r="E27" i="7" s="1"/>
  <c r="E9" i="7"/>
  <c r="E25" i="7" s="1"/>
  <c r="E4" i="7"/>
  <c r="E21" i="7" s="1"/>
  <c r="E32" i="6"/>
  <c r="E4" i="6"/>
  <c r="E38" i="6" s="1"/>
  <c r="E902" i="5"/>
  <c r="E894" i="5"/>
  <c r="E868" i="5"/>
  <c r="E812" i="5"/>
  <c r="E801" i="5"/>
  <c r="E788" i="5"/>
  <c r="E675" i="5"/>
  <c r="E630" i="5"/>
  <c r="E546" i="5"/>
  <c r="E522" i="5"/>
  <c r="E463" i="5"/>
  <c r="E453" i="5"/>
  <c r="E242" i="5"/>
  <c r="E140" i="5"/>
  <c r="E106" i="5"/>
  <c r="E88" i="5"/>
  <c r="E62" i="5"/>
  <c r="E28" i="5"/>
  <c r="E15" i="5"/>
  <c r="E25" i="59" l="1"/>
  <c r="C8" i="31" s="1"/>
  <c r="E36" i="26"/>
  <c r="C32" i="31" s="1"/>
  <c r="F32" i="31" s="1"/>
  <c r="E27" i="59"/>
  <c r="C24" i="31" s="1"/>
  <c r="F24" i="31" s="1"/>
  <c r="E43" i="18"/>
  <c r="E14" i="31"/>
  <c r="E26" i="28"/>
  <c r="C34" i="31" s="1"/>
  <c r="F34" i="31" s="1"/>
  <c r="E26" i="58"/>
  <c r="C28" i="31" s="1"/>
  <c r="F28" i="31" s="1"/>
  <c r="E30" i="31"/>
  <c r="E44" i="6"/>
  <c r="C23" i="31" s="1"/>
  <c r="F23" i="31"/>
  <c r="E45" i="18"/>
  <c r="E233" i="19"/>
  <c r="E244" i="19" s="1"/>
  <c r="F27" i="31"/>
  <c r="E73" i="9"/>
  <c r="E88" i="9" s="1"/>
  <c r="E79" i="16"/>
  <c r="E58" i="30"/>
  <c r="E68" i="30" s="1"/>
  <c r="E42" i="29"/>
  <c r="C33" i="31" s="1"/>
  <c r="F33" i="31" s="1"/>
  <c r="E28" i="10"/>
  <c r="C26" i="31" s="1"/>
  <c r="F26" i="31" s="1"/>
  <c r="E40" i="29"/>
  <c r="C17" i="31" s="1"/>
  <c r="E505" i="5"/>
  <c r="E743" i="5"/>
  <c r="E586" i="5"/>
  <c r="E610" i="5"/>
  <c r="E405" i="5"/>
  <c r="E304" i="5"/>
  <c r="E156" i="5"/>
  <c r="E351" i="5"/>
  <c r="E261" i="5"/>
  <c r="E489" i="5"/>
  <c r="E174" i="5"/>
  <c r="E553" i="5"/>
  <c r="E210" i="5"/>
  <c r="E367" i="5"/>
  <c r="E278" i="5"/>
  <c r="E388" i="5"/>
  <c r="E881" i="5"/>
  <c r="E468" i="5"/>
  <c r="E18" i="21"/>
  <c r="E141" i="21"/>
  <c r="E128" i="21"/>
  <c r="E111" i="21"/>
  <c r="E97" i="21"/>
  <c r="E81" i="21"/>
  <c r="E35" i="21"/>
  <c r="E202" i="21"/>
  <c r="E189" i="21"/>
  <c r="E172" i="21"/>
  <c r="E159" i="21"/>
  <c r="E49" i="21"/>
  <c r="E66" i="21"/>
  <c r="E437" i="5"/>
  <c r="E24" i="30"/>
  <c r="E66" i="30" s="1"/>
  <c r="E103" i="17"/>
  <c r="E114" i="17" s="1"/>
  <c r="E24" i="58"/>
  <c r="C12" i="31" s="1"/>
  <c r="E67" i="16"/>
  <c r="E53" i="19"/>
  <c r="E61" i="17"/>
  <c r="E44" i="14"/>
  <c r="E79" i="14"/>
  <c r="E59" i="14"/>
  <c r="E26" i="14"/>
  <c r="E64" i="9"/>
  <c r="F30" i="31" l="1"/>
  <c r="E90" i="16"/>
  <c r="C29" i="31" s="1"/>
  <c r="F29" i="31"/>
  <c r="D857" i="5" l="1"/>
  <c r="D862" i="5" s="1"/>
  <c r="B39" i="32" l="1"/>
  <c r="B41" i="32" s="1"/>
  <c r="B43" i="32" s="1"/>
  <c r="B27" i="32"/>
  <c r="B29" i="32" s="1"/>
  <c r="B31" i="32" s="1"/>
  <c r="B13" i="32"/>
  <c r="B15" i="32" s="1"/>
  <c r="B17" i="32" s="1"/>
  <c r="E383" i="4" l="1"/>
  <c r="E382" i="4"/>
  <c r="E381" i="4"/>
  <c r="E379" i="4"/>
  <c r="E377" i="4"/>
  <c r="D610" i="5" l="1"/>
  <c r="C287" i="5"/>
  <c r="J393" i="4" l="1"/>
  <c r="J392" i="4"/>
  <c r="J391" i="4"/>
  <c r="J390" i="4"/>
  <c r="J389" i="4"/>
  <c r="J388" i="4"/>
  <c r="J387" i="4"/>
  <c r="H485" i="4" l="1"/>
  <c r="H503" i="4" l="1"/>
  <c r="E66" i="24" l="1"/>
  <c r="C31" i="31" s="1"/>
  <c r="D115" i="9"/>
  <c r="D13" i="30" l="1"/>
  <c r="C13" i="30"/>
  <c r="D21" i="16" l="1"/>
  <c r="C21" i="16"/>
  <c r="D15" i="59"/>
  <c r="D27" i="59" s="1"/>
  <c r="D9" i="59"/>
  <c r="D25" i="59" s="1"/>
  <c r="D4" i="59"/>
  <c r="D21" i="59" s="1"/>
  <c r="F8" i="31" l="1"/>
  <c r="D23" i="59" l="1"/>
  <c r="D31" i="59" s="1"/>
  <c r="E23" i="59" s="1"/>
  <c r="E31" i="59" s="1"/>
  <c r="F23" i="59" s="1"/>
  <c r="F31" i="59" s="1"/>
  <c r="H545" i="4"/>
  <c r="H547" i="4"/>
  <c r="H549" i="4" l="1"/>
  <c r="F115" i="9" s="1"/>
  <c r="F117" i="9" s="1"/>
  <c r="F129" i="9" s="1"/>
  <c r="H502" i="4"/>
  <c r="F52" i="24" s="1"/>
  <c r="F54" i="24" s="1"/>
  <c r="E25" i="31" l="1"/>
  <c r="F66" i="24"/>
  <c r="E31" i="31"/>
  <c r="F31" i="31" s="1"/>
  <c r="F53" i="31"/>
  <c r="E53" i="31"/>
  <c r="F45" i="31"/>
  <c r="E45" i="31"/>
  <c r="C7" i="58"/>
  <c r="C9" i="58" s="1"/>
  <c r="D5" i="19"/>
  <c r="D238" i="19" s="1"/>
  <c r="C5" i="19"/>
  <c r="C238" i="19" s="1"/>
  <c r="D4" i="30"/>
  <c r="D63" i="30" s="1"/>
  <c r="C4" i="30"/>
  <c r="C63" i="30" s="1"/>
  <c r="D4" i="28"/>
  <c r="D20" i="28" s="1"/>
  <c r="C4" i="28"/>
  <c r="C20" i="28" s="1"/>
  <c r="D4" i="29"/>
  <c r="D36" i="29" s="1"/>
  <c r="C4" i="29"/>
  <c r="C36" i="29" s="1"/>
  <c r="D4" i="33"/>
  <c r="D21" i="33" s="1"/>
  <c r="C4" i="33"/>
  <c r="C21" i="33" s="1"/>
  <c r="D4" i="27"/>
  <c r="D26" i="27" s="1"/>
  <c r="C4" i="27"/>
  <c r="C26" i="27" s="1"/>
  <c r="D4" i="26"/>
  <c r="D30" i="26" s="1"/>
  <c r="C4" i="26"/>
  <c r="C30" i="26" s="1"/>
  <c r="D4" i="24"/>
  <c r="D60" i="24" s="1"/>
  <c r="C4" i="24"/>
  <c r="C60" i="24" s="1"/>
  <c r="D4" i="39"/>
  <c r="D19" i="39" s="1"/>
  <c r="C4" i="39"/>
  <c r="C19" i="39" s="1"/>
  <c r="D4" i="43"/>
  <c r="D17" i="43" s="1"/>
  <c r="C4" i="43"/>
  <c r="C17" i="43" s="1"/>
  <c r="D4" i="23"/>
  <c r="D21" i="23" s="1"/>
  <c r="C4" i="23"/>
  <c r="C21" i="23" s="1"/>
  <c r="D4" i="22"/>
  <c r="D33" i="22" s="1"/>
  <c r="C4" i="22"/>
  <c r="C33" i="22" s="1"/>
  <c r="D4" i="21"/>
  <c r="C4" i="21"/>
  <c r="C189" i="21" s="1"/>
  <c r="D4" i="18"/>
  <c r="D39" i="18" s="1"/>
  <c r="C4" i="18"/>
  <c r="C39" i="18" s="1"/>
  <c r="D4" i="17"/>
  <c r="D61" i="17" s="1"/>
  <c r="C4" i="17"/>
  <c r="C61" i="17" s="1"/>
  <c r="D4" i="16"/>
  <c r="D67" i="16" s="1"/>
  <c r="C4" i="16"/>
  <c r="C84" i="16" s="1"/>
  <c r="D4" i="15"/>
  <c r="D21" i="15" s="1"/>
  <c r="C4" i="15"/>
  <c r="C21" i="15" s="1"/>
  <c r="D4" i="38"/>
  <c r="D23" i="38" s="1"/>
  <c r="C4" i="38"/>
  <c r="C23" i="38" s="1"/>
  <c r="D4" i="14"/>
  <c r="D26" i="14" s="1"/>
  <c r="C4" i="14"/>
  <c r="D4" i="58"/>
  <c r="D20" i="58" s="1"/>
  <c r="C4" i="58"/>
  <c r="C20" i="58" s="1"/>
  <c r="D4" i="57"/>
  <c r="D32" i="57" s="1"/>
  <c r="C4" i="57"/>
  <c r="C32" i="57" s="1"/>
  <c r="D4" i="13"/>
  <c r="D22" i="13" s="1"/>
  <c r="C4" i="13"/>
  <c r="C22" i="13" s="1"/>
  <c r="D4" i="12"/>
  <c r="D43" i="12" s="1"/>
  <c r="C4" i="12"/>
  <c r="C43" i="12" s="1"/>
  <c r="D4" i="11"/>
  <c r="D31" i="11" s="1"/>
  <c r="C4" i="11"/>
  <c r="C31" i="11" s="1"/>
  <c r="D4" i="10"/>
  <c r="D22" i="10" s="1"/>
  <c r="C4" i="10"/>
  <c r="C22" i="10" s="1"/>
  <c r="D4" i="56"/>
  <c r="D20" i="56" s="1"/>
  <c r="C4" i="56"/>
  <c r="C20" i="56" s="1"/>
  <c r="D4" i="37"/>
  <c r="D19" i="37" s="1"/>
  <c r="C4" i="37"/>
  <c r="C19" i="37" s="1"/>
  <c r="D5" i="9"/>
  <c r="D64" i="9" s="1"/>
  <c r="D4" i="7"/>
  <c r="D21" i="7" s="1"/>
  <c r="D4" i="6"/>
  <c r="D38" i="6" s="1"/>
  <c r="C4" i="6"/>
  <c r="C38" i="6" s="1"/>
  <c r="C902" i="5"/>
  <c r="C894" i="5"/>
  <c r="C868" i="5"/>
  <c r="C853" i="5"/>
  <c r="C812" i="5"/>
  <c r="C801" i="5"/>
  <c r="C788" i="5"/>
  <c r="C743" i="5"/>
  <c r="C675" i="5"/>
  <c r="C630" i="5"/>
  <c r="C522" i="5"/>
  <c r="C468" i="5"/>
  <c r="C453" i="5"/>
  <c r="C388" i="5"/>
  <c r="C367" i="5"/>
  <c r="C261" i="5"/>
  <c r="C210" i="5"/>
  <c r="C174" i="5"/>
  <c r="C156" i="5"/>
  <c r="C106" i="5"/>
  <c r="C88" i="5"/>
  <c r="C62" i="5"/>
  <c r="C28" i="5"/>
  <c r="C15" i="5"/>
  <c r="D97" i="21" l="1"/>
  <c r="C140" i="5"/>
  <c r="C278" i="5"/>
  <c r="C586" i="5"/>
  <c r="C35" i="21"/>
  <c r="C242" i="5"/>
  <c r="C351" i="5"/>
  <c r="C159" i="21"/>
  <c r="C437" i="5"/>
  <c r="C505" i="5"/>
  <c r="C304" i="5"/>
  <c r="C108" i="17"/>
  <c r="C881" i="5"/>
  <c r="D111" i="21"/>
  <c r="D84" i="16"/>
  <c r="C405" i="5"/>
  <c r="C489" i="5"/>
  <c r="C553" i="5"/>
  <c r="D53" i="19"/>
  <c r="D18" i="21"/>
  <c r="C66" i="21"/>
  <c r="D141" i="21"/>
  <c r="D123" i="9"/>
  <c r="D66" i="21"/>
  <c r="C111" i="21"/>
  <c r="D189" i="21"/>
  <c r="C53" i="19"/>
  <c r="D108" i="17"/>
  <c r="D81" i="21"/>
  <c r="C128" i="21"/>
  <c r="D202" i="21"/>
  <c r="C44" i="14"/>
  <c r="C94" i="14"/>
  <c r="C79" i="14"/>
  <c r="C59" i="14"/>
  <c r="D59" i="14"/>
  <c r="D79" i="14"/>
  <c r="D94" i="14"/>
  <c r="D44" i="14"/>
  <c r="D35" i="21"/>
  <c r="C81" i="21"/>
  <c r="D159" i="21"/>
  <c r="C67" i="16"/>
  <c r="C49" i="21"/>
  <c r="D128" i="21"/>
  <c r="C172" i="21"/>
  <c r="C202" i="21"/>
  <c r="D49" i="21"/>
  <c r="C97" i="21"/>
  <c r="D172" i="21"/>
  <c r="C18" i="21"/>
  <c r="C141" i="21"/>
  <c r="C26" i="14"/>
  <c r="C8" i="5"/>
  <c r="C904" i="5" l="1"/>
  <c r="C916" i="5" s="1"/>
  <c r="C112" i="5"/>
  <c r="C914" i="5" s="1"/>
  <c r="C25" i="26" l="1"/>
  <c r="D25" i="26"/>
  <c r="F467" i="4" l="1"/>
  <c r="H433" i="4" l="1"/>
  <c r="E384" i="4" l="1"/>
  <c r="K393" i="4" l="1"/>
  <c r="F7" i="26" s="1"/>
  <c r="K392" i="4"/>
  <c r="F7" i="24" s="1"/>
  <c r="K391" i="4"/>
  <c r="F7" i="16" s="1"/>
  <c r="K390" i="4"/>
  <c r="F6" i="12" s="1"/>
  <c r="K389" i="4"/>
  <c r="K388" i="4"/>
  <c r="K387" i="4"/>
  <c r="F7" i="5" s="1"/>
  <c r="J394" i="4"/>
  <c r="J368" i="4"/>
  <c r="F367" i="4" s="1"/>
  <c r="F8" i="9" l="1"/>
  <c r="D9" i="58"/>
  <c r="K394" i="4"/>
  <c r="E115" i="9" l="1"/>
  <c r="E117" i="9" s="1"/>
  <c r="D167" i="19"/>
  <c r="C167" i="19"/>
  <c r="E45" i="32"/>
  <c r="E39" i="32"/>
  <c r="E9" i="32"/>
  <c r="H462" i="4"/>
  <c r="H432" i="4"/>
  <c r="D14" i="58"/>
  <c r="D26" i="58" s="1"/>
  <c r="C14" i="58"/>
  <c r="C26" i="58" s="1"/>
  <c r="C26" i="57"/>
  <c r="C38" i="57" s="1"/>
  <c r="D26" i="57"/>
  <c r="D38" i="57" s="1"/>
  <c r="D19" i="31"/>
  <c r="C9" i="39"/>
  <c r="C23" i="39" s="1"/>
  <c r="D9" i="39"/>
  <c r="D23" i="39" s="1"/>
  <c r="D157" i="19"/>
  <c r="C157" i="19"/>
  <c r="D153" i="19"/>
  <c r="C153" i="19"/>
  <c r="D139" i="19"/>
  <c r="C139" i="19"/>
  <c r="D36" i="57"/>
  <c r="C36" i="57"/>
  <c r="C195" i="19"/>
  <c r="M367" i="4"/>
  <c r="E43" i="32"/>
  <c r="E37" i="32"/>
  <c r="H426" i="4"/>
  <c r="C43" i="17"/>
  <c r="D43" i="17"/>
  <c r="D28" i="5"/>
  <c r="D21" i="14"/>
  <c r="D32" i="14" s="1"/>
  <c r="C21" i="14"/>
  <c r="C32" i="14" s="1"/>
  <c r="D19" i="12"/>
  <c r="C19" i="12"/>
  <c r="F369" i="4"/>
  <c r="F370" i="4" s="1"/>
  <c r="H442" i="4"/>
  <c r="H427" i="4"/>
  <c r="D94" i="19"/>
  <c r="C94" i="19"/>
  <c r="D98" i="19"/>
  <c r="C98" i="19"/>
  <c r="D195" i="19"/>
  <c r="C14" i="56"/>
  <c r="C26" i="56" s="1"/>
  <c r="D14" i="56"/>
  <c r="D26" i="56" s="1"/>
  <c r="D8" i="56"/>
  <c r="D24" i="56" s="1"/>
  <c r="C8" i="56"/>
  <c r="C24" i="56" s="1"/>
  <c r="C31" i="29"/>
  <c r="C42" i="29" s="1"/>
  <c r="D31" i="29"/>
  <c r="D881" i="5"/>
  <c r="D47" i="17"/>
  <c r="C47" i="17"/>
  <c r="D553" i="5"/>
  <c r="C53" i="17"/>
  <c r="C65" i="17"/>
  <c r="C69" i="17"/>
  <c r="C73" i="17"/>
  <c r="C82" i="17"/>
  <c r="C86" i="17"/>
  <c r="C97" i="17"/>
  <c r="C101" i="17"/>
  <c r="D53" i="17"/>
  <c r="E41" i="32"/>
  <c r="E31" i="32"/>
  <c r="E29" i="32"/>
  <c r="E25" i="32"/>
  <c r="E11" i="32"/>
  <c r="E13" i="32"/>
  <c r="E15" i="32"/>
  <c r="E17" i="32"/>
  <c r="E19" i="32"/>
  <c r="E21" i="32"/>
  <c r="E23" i="32"/>
  <c r="E27" i="32"/>
  <c r="E33" i="32"/>
  <c r="E35" i="32"/>
  <c r="F59" i="31"/>
  <c r="D15" i="5"/>
  <c r="D62" i="5"/>
  <c r="D88" i="5"/>
  <c r="D106" i="5"/>
  <c r="D140" i="5"/>
  <c r="D156" i="5"/>
  <c r="D174" i="5"/>
  <c r="D210" i="5"/>
  <c r="D242" i="5"/>
  <c r="D261" i="5"/>
  <c r="D278" i="5"/>
  <c r="D304" i="5"/>
  <c r="D351" i="5"/>
  <c r="D367" i="5"/>
  <c r="D388" i="5"/>
  <c r="D405" i="5"/>
  <c r="D437" i="5"/>
  <c r="D453" i="5"/>
  <c r="D468" i="5"/>
  <c r="D489" i="5"/>
  <c r="D505" i="5"/>
  <c r="D522" i="5"/>
  <c r="D586" i="5"/>
  <c r="D630" i="5"/>
  <c r="D675" i="5"/>
  <c r="D743" i="5"/>
  <c r="D788" i="5"/>
  <c r="D801" i="5"/>
  <c r="D812" i="5"/>
  <c r="D868" i="5"/>
  <c r="D894" i="5"/>
  <c r="D902" i="5"/>
  <c r="D32" i="6"/>
  <c r="D44" i="6" s="1"/>
  <c r="D88" i="9"/>
  <c r="D117" i="9" s="1"/>
  <c r="D63" i="16"/>
  <c r="D77" i="16"/>
  <c r="D45" i="18"/>
  <c r="D189" i="19"/>
  <c r="C87" i="19"/>
  <c r="D87" i="19"/>
  <c r="D28" i="9"/>
  <c r="C56" i="19"/>
  <c r="C64" i="19"/>
  <c r="C73" i="19"/>
  <c r="C83" i="19"/>
  <c r="C103" i="19"/>
  <c r="C107" i="19"/>
  <c r="C111" i="19"/>
  <c r="C115" i="19"/>
  <c r="C119" i="19"/>
  <c r="C123" i="19"/>
  <c r="C127" i="19"/>
  <c r="C131" i="19"/>
  <c r="C135" i="19"/>
  <c r="C143" i="19"/>
  <c r="C149" i="19"/>
  <c r="C163" i="19"/>
  <c r="C177" i="19"/>
  <c r="C183" i="19"/>
  <c r="C189" i="19"/>
  <c r="C201" i="19"/>
  <c r="C207" i="19"/>
  <c r="D56" i="19"/>
  <c r="D64" i="19"/>
  <c r="D73" i="19"/>
  <c r="D83" i="19"/>
  <c r="D103" i="19"/>
  <c r="D107" i="19"/>
  <c r="D111" i="19"/>
  <c r="D115" i="19"/>
  <c r="D119" i="19"/>
  <c r="D123" i="19"/>
  <c r="D127" i="19"/>
  <c r="D131" i="19"/>
  <c r="D135" i="19"/>
  <c r="D143" i="19"/>
  <c r="D149" i="19"/>
  <c r="D163" i="19"/>
  <c r="D177" i="19"/>
  <c r="D183" i="19"/>
  <c r="D201" i="19"/>
  <c r="D207" i="19"/>
  <c r="D37" i="19"/>
  <c r="C37" i="19"/>
  <c r="D45" i="9"/>
  <c r="D17" i="9"/>
  <c r="D24" i="9"/>
  <c r="D38" i="9"/>
  <c r="C16" i="23"/>
  <c r="C27" i="23" s="1"/>
  <c r="D16" i="23"/>
  <c r="D27" i="23" s="1"/>
  <c r="C41" i="19"/>
  <c r="D41" i="19"/>
  <c r="C7" i="30"/>
  <c r="D7" i="30"/>
  <c r="C18" i="30"/>
  <c r="D18" i="30"/>
  <c r="C22" i="30"/>
  <c r="D22" i="30"/>
  <c r="C36" i="30"/>
  <c r="D36" i="30"/>
  <c r="C45" i="30"/>
  <c r="D45" i="30"/>
  <c r="C52" i="30"/>
  <c r="D52" i="30"/>
  <c r="D15" i="28"/>
  <c r="D26" i="28" s="1"/>
  <c r="C10" i="28"/>
  <c r="D10" i="28"/>
  <c r="C15" i="28"/>
  <c r="C26" i="28" s="1"/>
  <c r="C8" i="29"/>
  <c r="C40" i="29" s="1"/>
  <c r="D8" i="29"/>
  <c r="D40" i="29" s="1"/>
  <c r="C11" i="33"/>
  <c r="C25" i="33" s="1"/>
  <c r="D11" i="33"/>
  <c r="D25" i="33" s="1"/>
  <c r="C16" i="33"/>
  <c r="C27" i="33" s="1"/>
  <c r="D16" i="33"/>
  <c r="D27" i="33" s="1"/>
  <c r="C10" i="27"/>
  <c r="C30" i="27" s="1"/>
  <c r="D10" i="27"/>
  <c r="D30" i="27" s="1"/>
  <c r="C32" i="27"/>
  <c r="D32" i="27"/>
  <c r="C34" i="26"/>
  <c r="D36" i="26"/>
  <c r="C64" i="24"/>
  <c r="C66" i="24"/>
  <c r="C14" i="39"/>
  <c r="C25" i="39" s="1"/>
  <c r="D14" i="39"/>
  <c r="D25" i="39" s="1"/>
  <c r="C8" i="43"/>
  <c r="C21" i="43" s="1"/>
  <c r="D8" i="43"/>
  <c r="D21" i="43" s="1"/>
  <c r="C12" i="43"/>
  <c r="C23" i="43" s="1"/>
  <c r="D12" i="43"/>
  <c r="D23" i="43" s="1"/>
  <c r="C8" i="23"/>
  <c r="C25" i="23" s="1"/>
  <c r="D8" i="23"/>
  <c r="D25" i="23" s="1"/>
  <c r="C37" i="22"/>
  <c r="D37" i="22"/>
  <c r="C28" i="22"/>
  <c r="C39" i="22" s="1"/>
  <c r="D28" i="22"/>
  <c r="D39" i="22" s="1"/>
  <c r="C9" i="21"/>
  <c r="C22" i="21" s="1"/>
  <c r="D9" i="21"/>
  <c r="D22" i="21" s="1"/>
  <c r="C13" i="21"/>
  <c r="C24" i="21" s="1"/>
  <c r="D13" i="21"/>
  <c r="D24" i="21" s="1"/>
  <c r="C40" i="21"/>
  <c r="C53" i="21" s="1"/>
  <c r="D40" i="21"/>
  <c r="D53" i="21" s="1"/>
  <c r="C44" i="21"/>
  <c r="C55" i="21" s="1"/>
  <c r="D44" i="21"/>
  <c r="D55" i="21" s="1"/>
  <c r="C85" i="21"/>
  <c r="D71" i="21"/>
  <c r="D85" i="21" s="1"/>
  <c r="C76" i="21"/>
  <c r="C87" i="21" s="1"/>
  <c r="D76" i="21"/>
  <c r="D87" i="21" s="1"/>
  <c r="C101" i="21"/>
  <c r="C115" i="21" s="1"/>
  <c r="D101" i="21"/>
  <c r="D115" i="21" s="1"/>
  <c r="C106" i="21"/>
  <c r="C117" i="21" s="1"/>
  <c r="D106" i="21"/>
  <c r="D117" i="21" s="1"/>
  <c r="C132" i="21"/>
  <c r="C145" i="21" s="1"/>
  <c r="D132" i="21"/>
  <c r="D145" i="21" s="1"/>
  <c r="C136" i="21"/>
  <c r="C147" i="21" s="1"/>
  <c r="D136" i="21"/>
  <c r="D147" i="21" s="1"/>
  <c r="C163" i="21"/>
  <c r="C176" i="21" s="1"/>
  <c r="D163" i="21"/>
  <c r="D176" i="21" s="1"/>
  <c r="C167" i="21"/>
  <c r="C178" i="21" s="1"/>
  <c r="D167" i="21"/>
  <c r="D178" i="21" s="1"/>
  <c r="C193" i="21"/>
  <c r="C206" i="21" s="1"/>
  <c r="D193" i="21"/>
  <c r="D206" i="21" s="1"/>
  <c r="C197" i="21"/>
  <c r="C208" i="21" s="1"/>
  <c r="D197" i="21"/>
  <c r="D208" i="21" s="1"/>
  <c r="C13" i="18"/>
  <c r="C43" i="18" s="1"/>
  <c r="C34" i="18"/>
  <c r="C45" i="18" s="1"/>
  <c r="C18" i="17"/>
  <c r="C20" i="17" s="1"/>
  <c r="C112" i="17" s="1"/>
  <c r="D18" i="17"/>
  <c r="D20" i="17" s="1"/>
  <c r="D112" i="17" s="1"/>
  <c r="D65" i="17"/>
  <c r="D69" i="17"/>
  <c r="D73" i="17"/>
  <c r="D82" i="17"/>
  <c r="D86" i="17"/>
  <c r="D97" i="17"/>
  <c r="D101" i="17"/>
  <c r="C8" i="16"/>
  <c r="C13" i="16"/>
  <c r="D13" i="16"/>
  <c r="C28" i="16"/>
  <c r="D28" i="16"/>
  <c r="C63" i="16"/>
  <c r="C77" i="16"/>
  <c r="C10" i="15"/>
  <c r="C25" i="15" s="1"/>
  <c r="D10" i="15"/>
  <c r="D25" i="15" s="1"/>
  <c r="C16" i="15"/>
  <c r="C27" i="15" s="1"/>
  <c r="D16" i="15"/>
  <c r="D27" i="15" s="1"/>
  <c r="D29" i="38"/>
  <c r="C9" i="38"/>
  <c r="C27" i="38" s="1"/>
  <c r="D9" i="38"/>
  <c r="D27" i="38" s="1"/>
  <c r="C29" i="38"/>
  <c r="C8" i="14"/>
  <c r="C30" i="14" s="1"/>
  <c r="D8" i="14"/>
  <c r="D30" i="14" s="1"/>
  <c r="C49" i="14"/>
  <c r="C63" i="14" s="1"/>
  <c r="D49" i="14"/>
  <c r="D63" i="14" s="1"/>
  <c r="C54" i="14"/>
  <c r="C65" i="14" s="1"/>
  <c r="D54" i="14"/>
  <c r="D65" i="14" s="1"/>
  <c r="C84" i="14"/>
  <c r="C98" i="14" s="1"/>
  <c r="D84" i="14"/>
  <c r="D98" i="14" s="1"/>
  <c r="C89" i="14"/>
  <c r="C100" i="14" s="1"/>
  <c r="D89" i="14"/>
  <c r="D100" i="14" s="1"/>
  <c r="C9" i="13"/>
  <c r="C26" i="13" s="1"/>
  <c r="D9" i="13"/>
  <c r="D26" i="13" s="1"/>
  <c r="C16" i="13"/>
  <c r="C28" i="13" s="1"/>
  <c r="D16" i="13"/>
  <c r="D28" i="13" s="1"/>
  <c r="C10" i="12"/>
  <c r="D10" i="12"/>
  <c r="C38" i="12"/>
  <c r="C49" i="12" s="1"/>
  <c r="D38" i="12"/>
  <c r="D49" i="12" s="1"/>
  <c r="C14" i="11"/>
  <c r="C35" i="11" s="1"/>
  <c r="D14" i="11"/>
  <c r="D35" i="11" s="1"/>
  <c r="C25" i="11"/>
  <c r="C37" i="11" s="1"/>
  <c r="D25" i="11"/>
  <c r="D37" i="11" s="1"/>
  <c r="C26" i="10"/>
  <c r="C16" i="10"/>
  <c r="C28" i="10" s="1"/>
  <c r="D16" i="10"/>
  <c r="C8" i="37"/>
  <c r="C23" i="37" s="1"/>
  <c r="D8" i="37"/>
  <c r="D23" i="37" s="1"/>
  <c r="D13" i="37"/>
  <c r="D25" i="37" s="1"/>
  <c r="C13" i="37"/>
  <c r="C25" i="37" s="1"/>
  <c r="D9" i="7"/>
  <c r="D25" i="7" s="1"/>
  <c r="D15" i="7"/>
  <c r="D27" i="7" s="1"/>
  <c r="C13" i="6"/>
  <c r="C32" i="6"/>
  <c r="C44" i="6" s="1"/>
  <c r="F384" i="4"/>
  <c r="H419" i="4"/>
  <c r="H420" i="4"/>
  <c r="H421" i="4"/>
  <c r="H422" i="4"/>
  <c r="H423" i="4"/>
  <c r="H424" i="4"/>
  <c r="H425" i="4"/>
  <c r="H428" i="4"/>
  <c r="H429" i="4"/>
  <c r="H431" i="4"/>
  <c r="H430" i="4"/>
  <c r="H434" i="4"/>
  <c r="H435" i="4"/>
  <c r="H436" i="4"/>
  <c r="H437" i="4"/>
  <c r="H438" i="4"/>
  <c r="H439" i="4"/>
  <c r="H440" i="4"/>
  <c r="H441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60" i="4"/>
  <c r="H458" i="4"/>
  <c r="H459" i="4"/>
  <c r="H461" i="4"/>
  <c r="H463" i="4"/>
  <c r="H464" i="4"/>
  <c r="H465" i="4"/>
  <c r="H466" i="4"/>
  <c r="G467" i="4"/>
  <c r="D26" i="10"/>
  <c r="D13" i="18"/>
  <c r="D43" i="18" s="1"/>
  <c r="C36" i="26"/>
  <c r="C33" i="16" l="1"/>
  <c r="C24" i="30"/>
  <c r="C66" i="30" s="1"/>
  <c r="C43" i="19"/>
  <c r="C242" i="19" s="1"/>
  <c r="E56" i="31"/>
  <c r="E59" i="31" s="1"/>
  <c r="C43" i="22"/>
  <c r="D35" i="22" s="1"/>
  <c r="D43" i="22" s="1"/>
  <c r="E35" i="22" s="1"/>
  <c r="E43" i="22" s="1"/>
  <c r="F35" i="22" s="1"/>
  <c r="F43" i="22" s="1"/>
  <c r="C233" i="19"/>
  <c r="C244" i="19" s="1"/>
  <c r="D233" i="19"/>
  <c r="D244" i="19" s="1"/>
  <c r="D43" i="19"/>
  <c r="D242" i="19" s="1"/>
  <c r="C21" i="12"/>
  <c r="C47" i="12" s="1"/>
  <c r="M369" i="4"/>
  <c r="Q367" i="4"/>
  <c r="E129" i="9"/>
  <c r="C25" i="31" s="1"/>
  <c r="F25" i="31" s="1"/>
  <c r="D66" i="24"/>
  <c r="D58" i="30"/>
  <c r="D68" i="30" s="1"/>
  <c r="C36" i="27"/>
  <c r="D28" i="27" s="1"/>
  <c r="D36" i="27" s="1"/>
  <c r="E28" i="27" s="1"/>
  <c r="E36" i="27" s="1"/>
  <c r="F28" i="27" s="1"/>
  <c r="F36" i="27" s="1"/>
  <c r="F14" i="31"/>
  <c r="C103" i="17"/>
  <c r="C114" i="17" s="1"/>
  <c r="C42" i="57"/>
  <c r="D34" i="57" s="1"/>
  <c r="D42" i="57" s="1"/>
  <c r="E34" i="57" s="1"/>
  <c r="E42" i="57" s="1"/>
  <c r="F34" i="57" s="1"/>
  <c r="F42" i="57" s="1"/>
  <c r="C41" i="11"/>
  <c r="D33" i="11" s="1"/>
  <c r="D41" i="11" s="1"/>
  <c r="E33" i="11" s="1"/>
  <c r="E41" i="11" s="1"/>
  <c r="F33" i="11" s="1"/>
  <c r="F41" i="11" s="1"/>
  <c r="F10" i="31"/>
  <c r="D42" i="29"/>
  <c r="C151" i="21"/>
  <c r="D143" i="21" s="1"/>
  <c r="D151" i="21" s="1"/>
  <c r="E143" i="21" s="1"/>
  <c r="E151" i="21" s="1"/>
  <c r="F143" i="21" s="1"/>
  <c r="F151" i="21" s="1"/>
  <c r="C32" i="10"/>
  <c r="D24" i="10" s="1"/>
  <c r="C31" i="33"/>
  <c r="D23" i="33" s="1"/>
  <c r="D31" i="33" s="1"/>
  <c r="E23" i="33" s="1"/>
  <c r="E31" i="33" s="1"/>
  <c r="F23" i="33" s="1"/>
  <c r="F31" i="33" s="1"/>
  <c r="C27" i="43"/>
  <c r="D19" i="43" s="1"/>
  <c r="D27" i="43" s="1"/>
  <c r="E19" i="43" s="1"/>
  <c r="E27" i="43" s="1"/>
  <c r="F19" i="43" s="1"/>
  <c r="F27" i="43" s="1"/>
  <c r="C182" i="21"/>
  <c r="D174" i="21" s="1"/>
  <c r="D182" i="21" s="1"/>
  <c r="E174" i="21" s="1"/>
  <c r="E182" i="21" s="1"/>
  <c r="F174" i="21" s="1"/>
  <c r="F182" i="21" s="1"/>
  <c r="C59" i="21"/>
  <c r="D51" i="21" s="1"/>
  <c r="D59" i="21" s="1"/>
  <c r="E51" i="21" s="1"/>
  <c r="E59" i="21" s="1"/>
  <c r="F51" i="21" s="1"/>
  <c r="F59" i="21" s="1"/>
  <c r="C49" i="18"/>
  <c r="D41" i="18" s="1"/>
  <c r="D49" i="18" s="1"/>
  <c r="E41" i="18" s="1"/>
  <c r="E49" i="18" s="1"/>
  <c r="F41" i="18" s="1"/>
  <c r="F49" i="18" s="1"/>
  <c r="C33" i="38"/>
  <c r="D25" i="38" s="1"/>
  <c r="D33" i="38" s="1"/>
  <c r="E25" i="38" s="1"/>
  <c r="E33" i="38" s="1"/>
  <c r="F25" i="38" s="1"/>
  <c r="F33" i="38" s="1"/>
  <c r="C69" i="14"/>
  <c r="D61" i="14" s="1"/>
  <c r="D69" i="14" s="1"/>
  <c r="E61" i="14" s="1"/>
  <c r="E69" i="14" s="1"/>
  <c r="F61" i="14" s="1"/>
  <c r="F69" i="14" s="1"/>
  <c r="C53" i="12"/>
  <c r="D45" i="12" s="1"/>
  <c r="C30" i="56"/>
  <c r="D22" i="56" s="1"/>
  <c r="D30" i="56" s="1"/>
  <c r="E22" i="56" s="1"/>
  <c r="E30" i="56" s="1"/>
  <c r="F22" i="56" s="1"/>
  <c r="F30" i="56" s="1"/>
  <c r="C29" i="37"/>
  <c r="D21" i="37" s="1"/>
  <c r="D29" i="37" s="1"/>
  <c r="E21" i="37" s="1"/>
  <c r="E29" i="37" s="1"/>
  <c r="F21" i="37" s="1"/>
  <c r="F29" i="37" s="1"/>
  <c r="D23" i="7"/>
  <c r="D29" i="7" s="1"/>
  <c r="E23" i="7" s="1"/>
  <c r="E29" i="7" s="1"/>
  <c r="F23" i="7" s="1"/>
  <c r="F29" i="7" s="1"/>
  <c r="C70" i="24"/>
  <c r="D62" i="24" s="1"/>
  <c r="C31" i="23"/>
  <c r="D23" i="23" s="1"/>
  <c r="D31" i="23" s="1"/>
  <c r="E23" i="23" s="1"/>
  <c r="E31" i="23" s="1"/>
  <c r="F23" i="23" s="1"/>
  <c r="F31" i="23" s="1"/>
  <c r="C88" i="16"/>
  <c r="C36" i="14"/>
  <c r="D28" i="14" s="1"/>
  <c r="D36" i="14" s="1"/>
  <c r="E28" i="14" s="1"/>
  <c r="E36" i="14" s="1"/>
  <c r="F28" i="14" s="1"/>
  <c r="F36" i="14" s="1"/>
  <c r="C24" i="58"/>
  <c r="C30" i="58" s="1"/>
  <c r="D22" i="58" s="1"/>
  <c r="J371" i="4"/>
  <c r="F17" i="31"/>
  <c r="C46" i="29"/>
  <c r="D38" i="29" s="1"/>
  <c r="H467" i="4"/>
  <c r="D24" i="28"/>
  <c r="D79" i="16"/>
  <c r="D21" i="12"/>
  <c r="D47" i="12" s="1"/>
  <c r="D28" i="10"/>
  <c r="C32" i="13"/>
  <c r="D24" i="13" s="1"/>
  <c r="D32" i="13" s="1"/>
  <c r="E24" i="13" s="1"/>
  <c r="E32" i="13" s="1"/>
  <c r="F24" i="13" s="1"/>
  <c r="F32" i="13" s="1"/>
  <c r="C104" i="14"/>
  <c r="D96" i="14" s="1"/>
  <c r="D104" i="14" s="1"/>
  <c r="E96" i="14" s="1"/>
  <c r="E104" i="14" s="1"/>
  <c r="F96" i="14" s="1"/>
  <c r="F104" i="14" s="1"/>
  <c r="C212" i="21"/>
  <c r="D204" i="21" s="1"/>
  <c r="D212" i="21" s="1"/>
  <c r="E204" i="21" s="1"/>
  <c r="E212" i="21" s="1"/>
  <c r="F204" i="21" s="1"/>
  <c r="F212" i="21" s="1"/>
  <c r="C29" i="39"/>
  <c r="D21" i="39" s="1"/>
  <c r="D29" i="39" s="1"/>
  <c r="E21" i="39" s="1"/>
  <c r="E29" i="39" s="1"/>
  <c r="F21" i="39" s="1"/>
  <c r="F29" i="39" s="1"/>
  <c r="C40" i="26"/>
  <c r="D32" i="26" s="1"/>
  <c r="C42" i="6"/>
  <c r="C31" i="15"/>
  <c r="D23" i="15" s="1"/>
  <c r="D31" i="15" s="1"/>
  <c r="E23" i="15" s="1"/>
  <c r="E31" i="15" s="1"/>
  <c r="F23" i="15" s="1"/>
  <c r="F31" i="15" s="1"/>
  <c r="C79" i="16"/>
  <c r="C121" i="21"/>
  <c r="D113" i="21" s="1"/>
  <c r="D121" i="21" s="1"/>
  <c r="E113" i="21" s="1"/>
  <c r="E121" i="21" s="1"/>
  <c r="F113" i="21" s="1"/>
  <c r="F121" i="21" s="1"/>
  <c r="C91" i="21"/>
  <c r="D83" i="21" s="1"/>
  <c r="D91" i="21" s="1"/>
  <c r="E83" i="21" s="1"/>
  <c r="E91" i="21" s="1"/>
  <c r="F83" i="21" s="1"/>
  <c r="F91" i="21" s="1"/>
  <c r="C28" i="21"/>
  <c r="D20" i="21" s="1"/>
  <c r="D28" i="21" s="1"/>
  <c r="E20" i="21" s="1"/>
  <c r="E28" i="21" s="1"/>
  <c r="F20" i="21" s="1"/>
  <c r="F28" i="21" s="1"/>
  <c r="F18" i="31"/>
  <c r="C24" i="28"/>
  <c r="C30" i="28" s="1"/>
  <c r="D22" i="28" s="1"/>
  <c r="C58" i="30"/>
  <c r="C68" i="30" s="1"/>
  <c r="D24" i="30"/>
  <c r="D66" i="30" s="1"/>
  <c r="D103" i="17"/>
  <c r="D114" i="17" s="1"/>
  <c r="D46" i="29" l="1"/>
  <c r="E38" i="29" s="1"/>
  <c r="E46" i="29" s="1"/>
  <c r="F38" i="29" s="1"/>
  <c r="F46" i="29" s="1"/>
  <c r="M370" i="4"/>
  <c r="Q369" i="4"/>
  <c r="D129" i="9"/>
  <c r="D53" i="12"/>
  <c r="E45" i="12" s="1"/>
  <c r="D32" i="10"/>
  <c r="E24" i="10" s="1"/>
  <c r="E32" i="10" s="1"/>
  <c r="F24" i="10" s="1"/>
  <c r="F32" i="10" s="1"/>
  <c r="C72" i="30"/>
  <c r="D64" i="30" s="1"/>
  <c r="D72" i="30" s="1"/>
  <c r="E64" i="30" s="1"/>
  <c r="E72" i="30" s="1"/>
  <c r="F64" i="30" s="1"/>
  <c r="F72" i="30" s="1"/>
  <c r="C248" i="19"/>
  <c r="D240" i="19" s="1"/>
  <c r="D248" i="19" s="1"/>
  <c r="E240" i="19" s="1"/>
  <c r="E248" i="19" s="1"/>
  <c r="F240" i="19" s="1"/>
  <c r="F248" i="19" s="1"/>
  <c r="C118" i="17"/>
  <c r="D110" i="17" s="1"/>
  <c r="D118" i="17" s="1"/>
  <c r="E110" i="17" s="1"/>
  <c r="E118" i="17" s="1"/>
  <c r="F110" i="17" s="1"/>
  <c r="F118" i="17" s="1"/>
  <c r="C48" i="6"/>
  <c r="D40" i="6" s="1"/>
  <c r="D30" i="28"/>
  <c r="E22" i="28" s="1"/>
  <c r="E30" i="28" s="1"/>
  <c r="F22" i="28" s="1"/>
  <c r="F30" i="28" s="1"/>
  <c r="D90" i="16"/>
  <c r="F372" i="4"/>
  <c r="G377" i="4" s="1"/>
  <c r="C90" i="16"/>
  <c r="G380" i="4" l="1"/>
  <c r="H380" i="4" s="1"/>
  <c r="G378" i="4"/>
  <c r="E10" i="12"/>
  <c r="E21" i="12" s="1"/>
  <c r="E47" i="12" s="1"/>
  <c r="F5" i="12"/>
  <c r="F10" i="12" s="1"/>
  <c r="F21" i="12" s="1"/>
  <c r="M372" i="4"/>
  <c r="Q370" i="4"/>
  <c r="G379" i="4"/>
  <c r="G383" i="4"/>
  <c r="G382" i="4"/>
  <c r="G381" i="4"/>
  <c r="C94" i="16"/>
  <c r="D86" i="16" s="1"/>
  <c r="D125" i="9"/>
  <c r="E53" i="12" l="1"/>
  <c r="F45" i="12" s="1"/>
  <c r="C11" i="31"/>
  <c r="F852" i="5"/>
  <c r="F853" i="5" s="1"/>
  <c r="F904" i="5" s="1"/>
  <c r="E22" i="31" s="1"/>
  <c r="F48" i="31" s="1"/>
  <c r="F47" i="12"/>
  <c r="E11" i="31"/>
  <c r="F11" i="31" s="1"/>
  <c r="M373" i="4"/>
  <c r="Q372" i="4"/>
  <c r="C920" i="5"/>
  <c r="H378" i="4"/>
  <c r="F6" i="6" s="1"/>
  <c r="F13" i="6" s="1"/>
  <c r="H383" i="4"/>
  <c r="F6" i="26" s="1"/>
  <c r="F9" i="26" s="1"/>
  <c r="F14" i="26" s="1"/>
  <c r="H382" i="4"/>
  <c r="H381" i="4"/>
  <c r="F53" i="12" l="1"/>
  <c r="F916" i="5"/>
  <c r="F34" i="26"/>
  <c r="E16" i="31"/>
  <c r="F42" i="6"/>
  <c r="E7" i="31"/>
  <c r="E64" i="24"/>
  <c r="C15" i="31" s="1"/>
  <c r="F6" i="24"/>
  <c r="F11" i="24" s="1"/>
  <c r="F16" i="24" s="1"/>
  <c r="F64" i="24" s="1"/>
  <c r="E15" i="31" s="1"/>
  <c r="E8" i="16"/>
  <c r="E33" i="16" s="1"/>
  <c r="F6" i="16"/>
  <c r="F8" i="16" s="1"/>
  <c r="F33" i="16" s="1"/>
  <c r="M375" i="4"/>
  <c r="Q373" i="4"/>
  <c r="D912" i="5"/>
  <c r="E34" i="26"/>
  <c r="C16" i="31" s="1"/>
  <c r="D13" i="6"/>
  <c r="D42" i="6" s="1"/>
  <c r="D48" i="6" s="1"/>
  <c r="E40" i="6" s="1"/>
  <c r="E13" i="6"/>
  <c r="C7" i="31" s="1"/>
  <c r="D853" i="5"/>
  <c r="D904" i="5" s="1"/>
  <c r="D8" i="16"/>
  <c r="D64" i="24"/>
  <c r="D34" i="26"/>
  <c r="D40" i="26" s="1"/>
  <c r="E32" i="26" s="1"/>
  <c r="H377" i="4"/>
  <c r="G384" i="4"/>
  <c r="D24" i="58"/>
  <c r="D30" i="58" s="1"/>
  <c r="E22" i="58" s="1"/>
  <c r="F12" i="31"/>
  <c r="H379" i="4"/>
  <c r="F7" i="9" s="1"/>
  <c r="F9" i="9" s="1"/>
  <c r="F51" i="9" s="1"/>
  <c r="D33" i="16" l="1"/>
  <c r="D88" i="16" s="1"/>
  <c r="D94" i="16" s="1"/>
  <c r="E86" i="16" s="1"/>
  <c r="E30" i="58"/>
  <c r="F22" i="58" s="1"/>
  <c r="F30" i="58" s="1"/>
  <c r="F88" i="16"/>
  <c r="E13" i="31"/>
  <c r="F127" i="9"/>
  <c r="E9" i="31"/>
  <c r="E88" i="16"/>
  <c r="C13" i="31" s="1"/>
  <c r="E8" i="5"/>
  <c r="E112" i="5" s="1"/>
  <c r="F6" i="5"/>
  <c r="F8" i="5" s="1"/>
  <c r="F112" i="5" s="1"/>
  <c r="D70" i="24"/>
  <c r="E62" i="24" s="1"/>
  <c r="E70" i="24" s="1"/>
  <c r="F62" i="24" s="1"/>
  <c r="F70" i="24" s="1"/>
  <c r="F7" i="31"/>
  <c r="Q375" i="4"/>
  <c r="D916" i="5"/>
  <c r="E40" i="26"/>
  <c r="F32" i="26" s="1"/>
  <c r="F40" i="26" s="1"/>
  <c r="E42" i="6"/>
  <c r="E48" i="6" s="1"/>
  <c r="F40" i="6" s="1"/>
  <c r="F48" i="6" s="1"/>
  <c r="E9" i="9"/>
  <c r="E51" i="9" s="1"/>
  <c r="C9" i="31" s="1"/>
  <c r="E853" i="5"/>
  <c r="E904" i="5" s="1"/>
  <c r="D9" i="9"/>
  <c r="D51" i="9" s="1"/>
  <c r="F15" i="31"/>
  <c r="F16" i="31"/>
  <c r="D8" i="5"/>
  <c r="H384" i="4"/>
  <c r="E94" i="16" l="1"/>
  <c r="F86" i="16" s="1"/>
  <c r="E914" i="5"/>
  <c r="C6" i="31"/>
  <c r="F13" i="31"/>
  <c r="F94" i="16"/>
  <c r="F914" i="5"/>
  <c r="E6" i="31"/>
  <c r="F47" i="31" s="1"/>
  <c r="D112" i="5"/>
  <c r="D914" i="5" s="1"/>
  <c r="E916" i="5"/>
  <c r="C22" i="31" s="1"/>
  <c r="F22" i="31" s="1"/>
  <c r="E127" i="9"/>
  <c r="D127" i="9"/>
  <c r="C35" i="31" l="1"/>
  <c r="E42" i="31" s="1"/>
  <c r="E48" i="31"/>
  <c r="D920" i="5"/>
  <c r="E912" i="5" s="1"/>
  <c r="F35" i="31"/>
  <c r="D133" i="9"/>
  <c r="E125" i="9" s="1"/>
  <c r="E133" i="9" s="1"/>
  <c r="F125" i="9" s="1"/>
  <c r="F133" i="9" s="1"/>
  <c r="E47" i="31"/>
  <c r="F9" i="31"/>
  <c r="E35" i="31"/>
  <c r="E19" i="31"/>
  <c r="F42" i="31" l="1"/>
  <c r="E37" i="31"/>
  <c r="E920" i="5"/>
  <c r="F912" i="5" s="1"/>
  <c r="F920" i="5" s="1"/>
  <c r="E50" i="31"/>
  <c r="F46" i="31" s="1"/>
  <c r="F50" i="31" s="1"/>
  <c r="F6" i="31"/>
  <c r="F19" i="31" s="1"/>
  <c r="C19" i="31"/>
  <c r="C37" i="31" s="1"/>
  <c r="F41" i="31"/>
  <c r="E41" i="31" l="1"/>
  <c r="E43" i="31" s="1"/>
  <c r="F40" i="31" s="1"/>
  <c r="F43" i="31" s="1"/>
</calcChain>
</file>

<file path=xl/comments1.xml><?xml version="1.0" encoding="utf-8"?>
<comments xmlns="http://schemas.openxmlformats.org/spreadsheetml/2006/main">
  <authors>
    <author>Becky Haynes</author>
  </authors>
  <commentList>
    <comment ref="C807" authorId="0" shapeId="0">
      <text>
        <r>
          <rPr>
            <sz val="9"/>
            <color indexed="81"/>
            <rFont val="Tahoma"/>
            <family val="2"/>
          </rPr>
          <t>Moved $53940 from this line item to 100.641.4782.55 Budget for Hospital moved to Indigent Care in 2018-2019.  Increased to $69k</t>
        </r>
      </text>
    </comment>
    <comment ref="B852" authorId="0" shapeId="0">
      <text>
        <r>
          <rPr>
            <sz val="9"/>
            <color indexed="81"/>
            <rFont val="Tahoma"/>
            <family val="2"/>
          </rPr>
          <t>2019 Began paying Health Department (100.583.4760.45) from Medical Care Idigents</t>
        </r>
      </text>
    </comment>
  </commentList>
</comments>
</file>

<file path=xl/sharedStrings.xml><?xml version="1.0" encoding="utf-8"?>
<sst xmlns="http://schemas.openxmlformats.org/spreadsheetml/2006/main" count="4890" uniqueCount="2348">
  <si>
    <t>100.454.4105.20</t>
  </si>
  <si>
    <t>100.454.4107.20</t>
  </si>
  <si>
    <t>100.454.4108.20</t>
  </si>
  <si>
    <t>100.454.4111.20</t>
  </si>
  <si>
    <t>100.454.4160.20</t>
  </si>
  <si>
    <t>100.454.4165.20</t>
  </si>
  <si>
    <t>100.454.4156.20</t>
  </si>
  <si>
    <t>100.454.4155.20</t>
  </si>
  <si>
    <t>JUSTICE OF THE PEACE PCT. #1</t>
  </si>
  <si>
    <t>BUDGET RECAP</t>
  </si>
  <si>
    <t>BUDGET RECAP-REVENUES AND EXPENDITURES</t>
  </si>
  <si>
    <t>100.561.4584.45</t>
  </si>
  <si>
    <t>ELECTED OFFICIAL-SALARY INCREASES</t>
  </si>
  <si>
    <t>TOTAL TAX</t>
  </si>
  <si>
    <t xml:space="preserve">BUDGETED </t>
  </si>
  <si>
    <t>RATE</t>
  </si>
  <si>
    <t>COURTHOUSE CONSTRUCTION (FUND 730)</t>
  </si>
  <si>
    <t>730.695.4794.80</t>
  </si>
  <si>
    <t>730.695.4795.80</t>
  </si>
  <si>
    <t>DISTRICT ATTORNEY (FUND 890)</t>
  </si>
  <si>
    <t>890.810</t>
  </si>
  <si>
    <t>890.810.4105.20</t>
  </si>
  <si>
    <t>890.810.4201.20</t>
  </si>
  <si>
    <t>890.810.4311.20</t>
  </si>
  <si>
    <t>890.810.4429.20</t>
  </si>
  <si>
    <t>890.810.4499.20</t>
  </si>
  <si>
    <t>890.810.4572.20</t>
  </si>
  <si>
    <t>890.820</t>
  </si>
  <si>
    <t>890.820.4311.20</t>
  </si>
  <si>
    <t>890.820.4499.20</t>
  </si>
  <si>
    <t>890.820.4788.20</t>
  </si>
  <si>
    <t>890.820.4572.20</t>
  </si>
  <si>
    <t>890.820.4575.20</t>
  </si>
  <si>
    <t>100.435.4429.15</t>
  </si>
  <si>
    <t>100.435.4481.15</t>
  </si>
  <si>
    <t>100.435.4572.15</t>
  </si>
  <si>
    <t>100.451</t>
  </si>
  <si>
    <t>100.451.4101.15</t>
  </si>
  <si>
    <t>490.930</t>
  </si>
  <si>
    <t>490.930.4551.55</t>
  </si>
  <si>
    <t>490.930.4552.55</t>
  </si>
  <si>
    <t>490.930.4553.55</t>
  </si>
  <si>
    <t>100.403.4444.10</t>
  </si>
  <si>
    <t>100.409.4399.00</t>
  </si>
  <si>
    <t>100.511.4355.13</t>
  </si>
  <si>
    <t>140.340.3499.70</t>
  </si>
  <si>
    <t>140.340</t>
  </si>
  <si>
    <t>490.702</t>
  </si>
  <si>
    <t>551.521.4117.21</t>
  </si>
  <si>
    <t>551.521.4201.21</t>
  </si>
  <si>
    <t>551.521.4203.21</t>
  </si>
  <si>
    <t>610.695.4696.70</t>
  </si>
  <si>
    <t>610.695.4697.70</t>
  </si>
  <si>
    <t>610.695.4698.70</t>
  </si>
  <si>
    <t>610.695.4699.70</t>
  </si>
  <si>
    <t>610.695.4667.30</t>
  </si>
  <si>
    <t>610.695.4668.30</t>
  </si>
  <si>
    <t>ROAD &amp; BRIDGE FUND</t>
  </si>
  <si>
    <t>JURY FUND</t>
  </si>
  <si>
    <t>VIT ESCROW FUND</t>
  </si>
  <si>
    <t>LAW LIBRARY FUND</t>
  </si>
  <si>
    <t>JUVENILE SERVICES FUND</t>
  </si>
  <si>
    <t>JUVENILE GRANT FUND</t>
  </si>
  <si>
    <t>JUVENILE OPERATING-MISC</t>
  </si>
  <si>
    <t>COUNTY GRANT FUND</t>
  </si>
  <si>
    <t>SECURITY FUND</t>
  </si>
  <si>
    <t>DISTRICT ATTY SPECIAL FUND</t>
  </si>
  <si>
    <t>DEBT SERVICE FUND</t>
  </si>
  <si>
    <t>INTEREST &amp; SINKING FUND</t>
  </si>
  <si>
    <t>CAPITAL PROJECTS FUND</t>
  </si>
  <si>
    <t>COUNTY GRANT (FUND 490)</t>
  </si>
  <si>
    <t>490.720</t>
  </si>
  <si>
    <t>490.720.4572.45</t>
  </si>
  <si>
    <t>512.403.4439.10</t>
  </si>
  <si>
    <t>512.403.4311.10</t>
  </si>
  <si>
    <t>515.403.4439.10</t>
  </si>
  <si>
    <t>100.360.3914.00</t>
  </si>
  <si>
    <t>100.511.4457.35</t>
  </si>
  <si>
    <t>100.564.4421.45</t>
  </si>
  <si>
    <t>490.330.3749.00</t>
  </si>
  <si>
    <t>490.702.4582.70</t>
  </si>
  <si>
    <t>551.521.4499.45</t>
  </si>
  <si>
    <t>NORIT AMERICAS TEXAS CAPITAL FUND GRANT</t>
  </si>
  <si>
    <t xml:space="preserve">     AIRPORT HANGERS</t>
  </si>
  <si>
    <t>OTHER</t>
  </si>
  <si>
    <t>BASE
SALARY</t>
  </si>
  <si>
    <t>TRAVEL
ALLOWANCE</t>
  </si>
  <si>
    <t>100.631.4355.55</t>
  </si>
  <si>
    <t>100.631.4457.55</t>
  </si>
  <si>
    <t>JUSTICE OF THE PEACE, PRECINCT 4-1</t>
  </si>
  <si>
    <t>NANCY GEORGE</t>
  </si>
  <si>
    <t>COUNTY TREASURER</t>
  </si>
  <si>
    <t>TAX COLLECTOR</t>
  </si>
  <si>
    <t>CONSTABLE, PRECINCT 1</t>
  </si>
  <si>
    <t>CONSTABLE, PRECINCT 2</t>
  </si>
  <si>
    <t>BRANT MOORE</t>
  </si>
  <si>
    <t>CONSTABLE, PRECINCT 3</t>
  </si>
  <si>
    <t>PHILLIP MAULDIN</t>
  </si>
  <si>
    <t>CONSTABLE, PRECINCT 4</t>
  </si>
  <si>
    <t>COUNTY SHERIFF</t>
  </si>
  <si>
    <t>TOM McCOOL</t>
  </si>
  <si>
    <t>TABLE OF CONTENTS</t>
  </si>
  <si>
    <t>ii</t>
  </si>
  <si>
    <t>iii</t>
  </si>
  <si>
    <t>SCHEDULE OF INDEBTEDNESS</t>
  </si>
  <si>
    <t>GENERAL FUND</t>
  </si>
  <si>
    <t>ESTIMATED RECEIPTS</t>
  </si>
  <si>
    <t>SUMMARY OF BUDGETED DISBURSEMENTS</t>
  </si>
  <si>
    <t>COUNTY COMMISSIONERS</t>
  </si>
  <si>
    <t>VETERAN'S AFFAIRS</t>
  </si>
  <si>
    <t>ELECTIONS ADMINISTRATOR</t>
  </si>
  <si>
    <t>NON-DEPARTMENTAL</t>
  </si>
  <si>
    <t>PRE-TRIAL DIVERSION</t>
  </si>
  <si>
    <t>JUSTICE OF THE PEACE, PCT. 1</t>
  </si>
  <si>
    <t>JUSTICE OF THE PEACE, PCT. 2</t>
  </si>
  <si>
    <t>JUSTICE OF THE PEACE, PCT. 3</t>
  </si>
  <si>
    <t>LEGAL EXPENSE</t>
  </si>
  <si>
    <t>COUNTY AUDITOR</t>
  </si>
  <si>
    <t>HUMAN RESOURCES</t>
  </si>
  <si>
    <t xml:space="preserve">TAX COLLECTOR </t>
  </si>
  <si>
    <t>PURCHASING</t>
  </si>
  <si>
    <t xml:space="preserve">     FY09 RECOVERY JAG</t>
  </si>
  <si>
    <t>490.712.4572.45</t>
  </si>
  <si>
    <t>JUVENILE STATE AID - GRANT "A"</t>
  </si>
  <si>
    <t xml:space="preserve">JUVENILE STATE AID - GRANT "F" </t>
  </si>
  <si>
    <t>COMMUNITY CORRECTIONS ASST. - "Y"</t>
  </si>
  <si>
    <t>STATE SALARY SUPPLEMENT</t>
  </si>
  <si>
    <t>SCHOOL LUNCH PROGRAM</t>
  </si>
  <si>
    <t xml:space="preserve">     EDWARD BYRNE MEMORIAL JAG</t>
  </si>
  <si>
    <t>TOTAL RECEIPTS</t>
  </si>
  <si>
    <t xml:space="preserve">DISBURSEMENTS (EXPENDITURES) </t>
  </si>
  <si>
    <t>COUNTY JUDGE (401)</t>
  </si>
  <si>
    <t xml:space="preserve">     EQUIPMENT/MAINTENANCE</t>
  </si>
  <si>
    <t>COUNTY COMMISSIONERS (402)</t>
  </si>
  <si>
    <t>COUNTY CLERK (403)</t>
  </si>
  <si>
    <t>VETERAN'S SERVICES (405)</t>
  </si>
  <si>
    <t>ELECTIONS (407)</t>
  </si>
  <si>
    <t>NON-DEPARTMENTAL (409)</t>
  </si>
  <si>
    <t>100.465.4429.15</t>
  </si>
  <si>
    <t>100.465.4481.15</t>
  </si>
  <si>
    <t>100.465.4572.15</t>
  </si>
  <si>
    <t>100.471</t>
  </si>
  <si>
    <t>100.471.4405.20</t>
  </si>
  <si>
    <t>100.465.4155.15</t>
  </si>
  <si>
    <t>100.465.4271.15</t>
  </si>
  <si>
    <t>100.465.4201.15</t>
  </si>
  <si>
    <t>100.465.4203.15</t>
  </si>
  <si>
    <t>100.461.4106.15</t>
  </si>
  <si>
    <t>100.495.4117.30</t>
  </si>
  <si>
    <t>TRANSFERS  IN/(OUT)</t>
  </si>
  <si>
    <t>ESTIMATED TRANSFERS IN/(OUT)</t>
  </si>
  <si>
    <t>CHARGES FOR SERVICE</t>
  </si>
  <si>
    <t>DA HOT CHECK  FEES</t>
  </si>
  <si>
    <t xml:space="preserve">DA FORFEITURE </t>
  </si>
  <si>
    <t>DA STATE SALARY SUPPLEMENT</t>
  </si>
  <si>
    <t>RECEIPTS (REVENUES)</t>
  </si>
  <si>
    <t>FUND</t>
  </si>
  <si>
    <t>DIFFERENCE</t>
  </si>
  <si>
    <t>100.403.4438.10</t>
  </si>
  <si>
    <t>100.436.4104.20</t>
  </si>
  <si>
    <t>100.461.4272.15</t>
  </si>
  <si>
    <t>100.462.4272.15</t>
  </si>
  <si>
    <t>100.463.4421.15</t>
  </si>
  <si>
    <t>100.463.4272.15</t>
  </si>
  <si>
    <t>100.465.4272.15</t>
  </si>
  <si>
    <t>100.561.4574.45</t>
  </si>
  <si>
    <t>100.641.4782.55</t>
  </si>
  <si>
    <t>100.463.4499.15</t>
  </si>
  <si>
    <t>100.471.4411.20</t>
  </si>
  <si>
    <t>300.695.4117.10</t>
  </si>
  <si>
    <t>300.695.4201.10</t>
  </si>
  <si>
    <t>300.695.4203.10</t>
  </si>
  <si>
    <t>460.330.3389.00</t>
  </si>
  <si>
    <t>460.576</t>
  </si>
  <si>
    <t>460.692</t>
  </si>
  <si>
    <t>460.692.4145.45</t>
  </si>
  <si>
    <t>460.692.4155.45</t>
  </si>
  <si>
    <t>460.692.4201.45</t>
  </si>
  <si>
    <t>460.692.4203.45</t>
  </si>
  <si>
    <t>460.692.4205.45</t>
  </si>
  <si>
    <t>460.692.4311.45</t>
  </si>
  <si>
    <t>460.692.4334.45</t>
  </si>
  <si>
    <t>460.692.4572.45</t>
  </si>
  <si>
    <t>470.365.3723.00</t>
  </si>
  <si>
    <t>490.330.3701.00</t>
  </si>
  <si>
    <t xml:space="preserve">     OOG-CRIMINAL HISTORY PROJECT-CJIS GRANT</t>
  </si>
  <si>
    <t>490.330.3739.00</t>
  </si>
  <si>
    <t xml:space="preserve">     2009 SHSP LEAP GRANT</t>
  </si>
  <si>
    <t>490.567</t>
  </si>
  <si>
    <t>490.701.4395.55</t>
  </si>
  <si>
    <t>490.701.4425.55</t>
  </si>
  <si>
    <t xml:space="preserve">     2010 SHSP (WEST HARRISON, HCSO &amp; VOTERS)</t>
  </si>
  <si>
    <t>490.725</t>
  </si>
  <si>
    <t>490.725.4154.10</t>
  </si>
  <si>
    <t>490.725.4201.10</t>
  </si>
  <si>
    <t>490.725.4203.10</t>
  </si>
  <si>
    <t>550.520.4281.45</t>
  </si>
  <si>
    <t>890.810.4166.20</t>
  </si>
  <si>
    <t>100.501.4205.30</t>
  </si>
  <si>
    <t>100.501.4311.30</t>
  </si>
  <si>
    <t>100.501.4321.30</t>
  </si>
  <si>
    <t>100.499.4311.30</t>
  </si>
  <si>
    <t>100.499.4316.30</t>
  </si>
  <si>
    <t>100.499.4321.30</t>
  </si>
  <si>
    <t>100.499.4429.30</t>
  </si>
  <si>
    <t>100.499.4468.30</t>
  </si>
  <si>
    <t>100.499.4481.30</t>
  </si>
  <si>
    <t>100.499.4572.30</t>
  </si>
  <si>
    <t>100.501</t>
  </si>
  <si>
    <t>100.501.4102.30</t>
  </si>
  <si>
    <t>100.501.4105.30</t>
  </si>
  <si>
    <t>100.501.4155.30</t>
  </si>
  <si>
    <t>100.501.4201.30</t>
  </si>
  <si>
    <t>100.501.4203.30</t>
  </si>
  <si>
    <t>WILLIAM HATFIELD</t>
  </si>
  <si>
    <t>BRAD MORIN</t>
  </si>
  <si>
    <t>2013 Secured Equipment Note #009</t>
  </si>
  <si>
    <t>2013 SECURED EQUIPMENT #009</t>
  </si>
  <si>
    <t>Original Issue Amount</t>
  </si>
  <si>
    <t>100.461.4111.15</t>
  </si>
  <si>
    <t>100.461.4155.15</t>
  </si>
  <si>
    <t>100.461.4201.15</t>
  </si>
  <si>
    <t>100.461.4203.15</t>
  </si>
  <si>
    <t>100.461.4205.15</t>
  </si>
  <si>
    <t>100.461.4271.15</t>
  </si>
  <si>
    <t>100.461.4311.15</t>
  </si>
  <si>
    <t>100.461.4321.15</t>
  </si>
  <si>
    <t>100.461.4421.15</t>
  </si>
  <si>
    <t>100.461.4429.15</t>
  </si>
  <si>
    <t>100.461.4455.15</t>
  </si>
  <si>
    <t>514.451.4439.10</t>
  </si>
  <si>
    <t>100.461.4481.15</t>
  </si>
  <si>
    <t>100.461.4572.15</t>
  </si>
  <si>
    <t>100.462.4101.15</t>
  </si>
  <si>
    <t>100.462.4111.15</t>
  </si>
  <si>
    <t>100.462.4155.15</t>
  </si>
  <si>
    <t>100.462.4201.15</t>
  </si>
  <si>
    <t>JUSTICE OF THE PEACE #2 (462)</t>
  </si>
  <si>
    <t>100.462.4203.15</t>
  </si>
  <si>
    <t>100.462.4205.15</t>
  </si>
  <si>
    <t>100.462.4271.15</t>
  </si>
  <si>
    <t>100.462.4311.15</t>
  </si>
  <si>
    <t>100.462.4321.15</t>
  </si>
  <si>
    <t>100.462.4481.15</t>
  </si>
  <si>
    <t>100.462.4572.15</t>
  </si>
  <si>
    <t>100.463</t>
  </si>
  <si>
    <t>100.463.4101.15</t>
  </si>
  <si>
    <t>100.463.4111.15</t>
  </si>
  <si>
    <t>100.463.4155.15</t>
  </si>
  <si>
    <t>100.463.4201.15</t>
  </si>
  <si>
    <t>100.463.4203.15</t>
  </si>
  <si>
    <t>100.463.4205.15</t>
  </si>
  <si>
    <t>100.463.4271.15</t>
  </si>
  <si>
    <t>100.463.4311.15</t>
  </si>
  <si>
    <t>100.463.4321.15</t>
  </si>
  <si>
    <t>100.463.4429.15</t>
  </si>
  <si>
    <t>100.462.4429.15</t>
  </si>
  <si>
    <t>100.463.4481.15</t>
  </si>
  <si>
    <t>100.463.4572.15</t>
  </si>
  <si>
    <t>TOTAL TAXABLE VALUE</t>
  </si>
  <si>
    <t>LESS: TAXABLE VALUE OF 65+ CEILING</t>
  </si>
  <si>
    <t>610.695.4685.90</t>
  </si>
  <si>
    <t>610.695.4686.95</t>
  </si>
  <si>
    <t>500.403.4439.10</t>
  </si>
  <si>
    <t>CO CLK RECORDS MGM (FUND 500)</t>
  </si>
  <si>
    <t>COUNTY RECORDS MGM (FUND 510)</t>
  </si>
  <si>
    <t>510.403.4439.10</t>
  </si>
  <si>
    <t>DIST CLK RECORDS MGM. (FUND 513)</t>
  </si>
  <si>
    <t>513.451.4439.10</t>
  </si>
  <si>
    <t>DIST CLK RECORDS MGM (FUND 513)</t>
  </si>
  <si>
    <t>SECURITY FUND (FUND 550)</t>
  </si>
  <si>
    <t>550.520.4135.45</t>
  </si>
  <si>
    <t>550.520.4138.45</t>
  </si>
  <si>
    <t>550.520.4155.45</t>
  </si>
  <si>
    <t>550.520.4201.45</t>
  </si>
  <si>
    <t>550.520.4203.45</t>
  </si>
  <si>
    <t>550.520.4205.45</t>
  </si>
  <si>
    <t>890.830</t>
  </si>
  <si>
    <t>890.830.4109.20</t>
  </si>
  <si>
    <t xml:space="preserve">GENERAL (FUND 100) </t>
  </si>
  <si>
    <t>100.310</t>
  </si>
  <si>
    <t>100.320</t>
  </si>
  <si>
    <t>100.330</t>
  </si>
  <si>
    <t>100.340</t>
  </si>
  <si>
    <t>100.461</t>
  </si>
  <si>
    <t>100.461.4101.15</t>
  </si>
  <si>
    <t>COURT-INITIATED GUARDIANSHIP (FUND 560)</t>
  </si>
  <si>
    <t>560.340.3410.00</t>
  </si>
  <si>
    <t>560.360.3601.00</t>
  </si>
  <si>
    <t>560.695.4415.10</t>
  </si>
  <si>
    <t>610.695.4688.95</t>
  </si>
  <si>
    <t xml:space="preserve">     2011 CAPITAL LEASE-SO/RB/JUV #004-INTEREST</t>
  </si>
  <si>
    <t xml:space="preserve">     2011 CAPITAL LEASE- SO/RB/JUV #004 PRINCIPAL</t>
  </si>
  <si>
    <t>610.695.4687.90</t>
  </si>
  <si>
    <t>890.830.4201.20</t>
  </si>
  <si>
    <t>890.830.4203.20</t>
  </si>
  <si>
    <t>890.830.4205.20</t>
  </si>
  <si>
    <t>FINE COLLECTION (566)</t>
  </si>
  <si>
    <t xml:space="preserve">     2011 HOMELAND SECURITY-LETPA (SO RADIOS)</t>
  </si>
  <si>
    <t>RECEIPTS (REVENUE)</t>
  </si>
  <si>
    <t>AD VALOREM TAXES</t>
  </si>
  <si>
    <t>CHARGES FOR SERVICES</t>
  </si>
  <si>
    <t>MAIN JAIL/JAIL ANNEX</t>
  </si>
  <si>
    <t>COUNTY CLERK RECORDS ARCHIVES (FUND 511)</t>
  </si>
  <si>
    <t>COUNTY CLERK RECORDS MGM. (FUND 500)</t>
  </si>
  <si>
    <t>COUNTY CLERK VITAL ARCHIVES (FUND 512)</t>
  </si>
  <si>
    <t>COUNTY CLERK CRIMINAL PRESERVATION (FUND 515)</t>
  </si>
  <si>
    <t>460.590</t>
  </si>
  <si>
    <t>460.590.4402.45</t>
  </si>
  <si>
    <t>460.580</t>
  </si>
  <si>
    <t>460.580.4402.45</t>
  </si>
  <si>
    <t>460.690</t>
  </si>
  <si>
    <t>460.690.4144.45</t>
  </si>
  <si>
    <t>450.570.4321.45</t>
  </si>
  <si>
    <t>450.570.4332.45</t>
  </si>
  <si>
    <t>450.570.4401.45</t>
  </si>
  <si>
    <t>450.570.4421.45</t>
  </si>
  <si>
    <t>450.570.4429.45</t>
  </si>
  <si>
    <t>450.570.4441.45</t>
  </si>
  <si>
    <t>450.570.4572.45</t>
  </si>
  <si>
    <t>450.570.4783.45</t>
  </si>
  <si>
    <t>100.465.4101.15</t>
  </si>
  <si>
    <t>100.465.4111.15</t>
  </si>
  <si>
    <t>COURTHOUSE CONSTRUCTION FUND</t>
  </si>
  <si>
    <t>100.581.4111.45</t>
  </si>
  <si>
    <t>100.581.4155.45</t>
  </si>
  <si>
    <t>100.581.4201.45</t>
  </si>
  <si>
    <t>100.581.4203.45</t>
  </si>
  <si>
    <t>100.581.4205.45</t>
  </si>
  <si>
    <t>100.581.4311.45</t>
  </si>
  <si>
    <t>100.581.4321.45</t>
  </si>
  <si>
    <t>100.581.4457.45</t>
  </si>
  <si>
    <t>100.581.4572.45</t>
  </si>
  <si>
    <t>100.583</t>
  </si>
  <si>
    <t>100.583.4755.45</t>
  </si>
  <si>
    <t>100.583.4760.45</t>
  </si>
  <si>
    <t>100.583.4765.45</t>
  </si>
  <si>
    <t>100.583.4766.45</t>
  </si>
  <si>
    <t>100.583.4770.45</t>
  </si>
  <si>
    <t>100.583.4771.45</t>
  </si>
  <si>
    <t>100.631</t>
  </si>
  <si>
    <t>100.631.4102.55</t>
  </si>
  <si>
    <t>100.631.4105.55</t>
  </si>
  <si>
    <t>100.631.4117.55</t>
  </si>
  <si>
    <t>100.631.4201.55</t>
  </si>
  <si>
    <t>100.631.4203.55</t>
  </si>
  <si>
    <t>100.631.4205.55</t>
  </si>
  <si>
    <t>100.631.4311.55</t>
  </si>
  <si>
    <t>100.631.4421.55</t>
  </si>
  <si>
    <t>100.631.4429.55</t>
  </si>
  <si>
    <t>100.409.4421.10</t>
  </si>
  <si>
    <t>100.409.4427.10</t>
  </si>
  <si>
    <t>100.409.4431.10</t>
  </si>
  <si>
    <t>100.409.4458.10</t>
  </si>
  <si>
    <t>100.565.4332.45</t>
  </si>
  <si>
    <t xml:space="preserve">GOVERNMENTAL </t>
  </si>
  <si>
    <t>145.620.4362.40</t>
  </si>
  <si>
    <t>ROAD DAMAGE (FUND 145)</t>
  </si>
  <si>
    <t>CONSTABLE # 1 (551)</t>
  </si>
  <si>
    <t>240.695.4300.40</t>
  </si>
  <si>
    <t>310.349.3448.00</t>
  </si>
  <si>
    <t>310.349.3449.00</t>
  </si>
  <si>
    <t>310.360.3601.00</t>
  </si>
  <si>
    <t>310.695.4499.10</t>
  </si>
  <si>
    <t>320.349.3448.00</t>
  </si>
  <si>
    <t>320.360.3601.00</t>
  </si>
  <si>
    <t>320.695.4499.10</t>
  </si>
  <si>
    <t>490.330.3986.00</t>
  </si>
  <si>
    <t>100.543.4733.45</t>
  </si>
  <si>
    <t>100.543.4734.45</t>
  </si>
  <si>
    <t>100.543.4738.45</t>
  </si>
  <si>
    <t>100.551</t>
  </si>
  <si>
    <t>100.551.4165.45</t>
  </si>
  <si>
    <t>100.551.4201.45</t>
  </si>
  <si>
    <t>100.551.4203.45</t>
  </si>
  <si>
    <t>100.551.4205.45</t>
  </si>
  <si>
    <t>100.551.4281.45</t>
  </si>
  <si>
    <t>100.551.4311.45</t>
  </si>
  <si>
    <t xml:space="preserve"> GENERAL FUND BALANCE RECAP</t>
  </si>
  <si>
    <t>100.551.4421.45</t>
  </si>
  <si>
    <t>100.551.4321.45</t>
  </si>
  <si>
    <t>100.551.4355.45</t>
  </si>
  <si>
    <t>100.551.4429.45</t>
  </si>
  <si>
    <t>100.551.4455.45</t>
  </si>
  <si>
    <t>100.551.4457.45</t>
  </si>
  <si>
    <t>100.551.4481.45</t>
  </si>
  <si>
    <t>100.551.4572.45</t>
  </si>
  <si>
    <t>100.552</t>
  </si>
  <si>
    <t>100.552.4101.45</t>
  </si>
  <si>
    <t>140.620.4581.40</t>
  </si>
  <si>
    <t>180.365.3912.00</t>
  </si>
  <si>
    <t>180.360.3899.00</t>
  </si>
  <si>
    <t>240.340.3454.00</t>
  </si>
  <si>
    <t>240.360.3727.00</t>
  </si>
  <si>
    <t>240.695.4445.40</t>
  </si>
  <si>
    <t>610.695.4693.95</t>
  </si>
  <si>
    <t>710.695.4568.10</t>
  </si>
  <si>
    <t>740.695.4499.10</t>
  </si>
  <si>
    <t>100.340.3427.00</t>
  </si>
  <si>
    <t>100.360.3747.00</t>
  </si>
  <si>
    <t>100.690.4764.70</t>
  </si>
  <si>
    <t>110.695.4120.15</t>
  </si>
  <si>
    <t>140.620.4461.40</t>
  </si>
  <si>
    <t>240.695.4200.40</t>
  </si>
  <si>
    <t>450.570.4454.45</t>
  </si>
  <si>
    <t>511.349.3441</t>
  </si>
  <si>
    <t>511.403.4439.10</t>
  </si>
  <si>
    <t>511.403.4311.10</t>
  </si>
  <si>
    <t>DC PRESERVATION (FUND 514)</t>
  </si>
  <si>
    <t>COURTHOUSE MAINTENANCE (FUND 750)</t>
  </si>
  <si>
    <t>750.695.4459.10</t>
  </si>
  <si>
    <t>750.695.4572.10</t>
  </si>
  <si>
    <t>TOBACCO SETTLEMENT (FUND 740)</t>
  </si>
  <si>
    <t xml:space="preserve">     GENERAL</t>
  </si>
  <si>
    <t xml:space="preserve">     JURY</t>
  </si>
  <si>
    <t xml:space="preserve">     ROAD &amp; BRIDGE</t>
  </si>
  <si>
    <t xml:space="preserve">     JUVENILE SERVICES</t>
  </si>
  <si>
    <t xml:space="preserve">     BOOT CAMP</t>
  </si>
  <si>
    <t>100.554.4205.45</t>
  </si>
  <si>
    <t>100.554.4281.45</t>
  </si>
  <si>
    <t>100.554.4311.45</t>
  </si>
  <si>
    <t>100.554.4421.45</t>
  </si>
  <si>
    <t>100.554.4321.45</t>
  </si>
  <si>
    <t>100.554.4355.45</t>
  </si>
  <si>
    <t>100.554.4429.45</t>
  </si>
  <si>
    <t>460.330.3372.00</t>
  </si>
  <si>
    <t>460.330.3375.00</t>
  </si>
  <si>
    <t>460.360.3601.00</t>
  </si>
  <si>
    <t>470.310.3101.00</t>
  </si>
  <si>
    <t>470.310.3105.00</t>
  </si>
  <si>
    <t>470.330.3386.00</t>
  </si>
  <si>
    <t>470.340.3471.00</t>
  </si>
  <si>
    <t>470.340.3725.00</t>
  </si>
  <si>
    <t>470.360.3601.00</t>
  </si>
  <si>
    <t>490.711.4572.10</t>
  </si>
  <si>
    <t xml:space="preserve">490.711 </t>
  </si>
  <si>
    <t>490.712</t>
  </si>
  <si>
    <t>500.349.3443.00</t>
  </si>
  <si>
    <t>500.349.3496.00</t>
  </si>
  <si>
    <t>500.360.3601.00</t>
  </si>
  <si>
    <t>550.349.3443.00</t>
  </si>
  <si>
    <t>550.349.3444.00</t>
  </si>
  <si>
    <t>550.349.3445.00</t>
  </si>
  <si>
    <t>550.349.3446.00</t>
  </si>
  <si>
    <t>550.360.3601.00</t>
  </si>
  <si>
    <t>551.349.3446.00</t>
  </si>
  <si>
    <t>551.360.3601.00</t>
  </si>
  <si>
    <t xml:space="preserve">     FY09 RECOVERY ACT JAG</t>
  </si>
  <si>
    <t>514.349.3450.00</t>
  </si>
  <si>
    <t>514.360.3601.00</t>
  </si>
  <si>
    <t>513.349.3445.00</t>
  </si>
  <si>
    <t>513.360.3601.00</t>
  </si>
  <si>
    <t>512.349.3441.00</t>
  </si>
  <si>
    <t>512.360.3601.00</t>
  </si>
  <si>
    <t>511.349.3442.00</t>
  </si>
  <si>
    <t>511.360.3601.00</t>
  </si>
  <si>
    <t>510.349.3444.00</t>
  </si>
  <si>
    <t>510.349.3445.00</t>
  </si>
  <si>
    <t>510.360.3601.00</t>
  </si>
  <si>
    <t>515.349.3450.00</t>
  </si>
  <si>
    <t>515.360.3601.00</t>
  </si>
  <si>
    <t>740.695.4431.10</t>
  </si>
  <si>
    <t>100.454.4355.20</t>
  </si>
  <si>
    <t>100.543.4116.31</t>
  </si>
  <si>
    <t>100.330.3748.45</t>
  </si>
  <si>
    <t>100.360.3915.00</t>
  </si>
  <si>
    <t>100.462</t>
  </si>
  <si>
    <t>100.566.4311.30</t>
  </si>
  <si>
    <t>100.566.4321.30</t>
  </si>
  <si>
    <t>100.566.4429.30</t>
  </si>
  <si>
    <t>100.566.4572.30</t>
  </si>
  <si>
    <t>100.581</t>
  </si>
  <si>
    <t>100.543.4311.45</t>
  </si>
  <si>
    <t>100.543.4321.45</t>
  </si>
  <si>
    <t>100.543.4421.45</t>
  </si>
  <si>
    <t>100.543.4355.45</t>
  </si>
  <si>
    <t>100.543.4457.45</t>
  </si>
  <si>
    <t>100.543.4429.45</t>
  </si>
  <si>
    <t>100.543.4481.45</t>
  </si>
  <si>
    <t>100.543.4572.45</t>
  </si>
  <si>
    <t>100.543.4575.45</t>
  </si>
  <si>
    <t>JUSTICE OF THE PEACE, PCT. 4</t>
  </si>
  <si>
    <t>DC PRESERVATION HB3637 FUND (514)</t>
  </si>
  <si>
    <t>CC PRESERVATION HB3637 FUND (515)</t>
  </si>
  <si>
    <t>COURT INITIATED GUARDIANSHIP FUND (560)</t>
  </si>
  <si>
    <t>490.330.3709.00</t>
  </si>
  <si>
    <t>490.330.3713.00</t>
  </si>
  <si>
    <t>490.330.3717.00</t>
  </si>
  <si>
    <t>490.330.3740.00</t>
  </si>
  <si>
    <t>490.330.3741.00</t>
  </si>
  <si>
    <t>490.330.3712.00</t>
  </si>
  <si>
    <t>490.330.3714.00</t>
  </si>
  <si>
    <t>490.330.3716.00</t>
  </si>
  <si>
    <t>490.330.3728.00</t>
  </si>
  <si>
    <t>490.330.3951.00</t>
  </si>
  <si>
    <t>490.330.3991.00</t>
  </si>
  <si>
    <t>490.360.3601.00</t>
  </si>
  <si>
    <t>490.330.3952.00</t>
  </si>
  <si>
    <t>NORTH HARRISON WATER SUPPLY</t>
  </si>
  <si>
    <t>490.330.3953.00</t>
  </si>
  <si>
    <t>490.330.3985.00</t>
  </si>
  <si>
    <t xml:space="preserve">100.402.4271.10       </t>
  </si>
  <si>
    <t xml:space="preserve">100.401.4271.10       </t>
  </si>
  <si>
    <t>100.409.4472.10</t>
  </si>
  <si>
    <t>100.583.4740.31</t>
  </si>
  <si>
    <t>100.695.4564.10</t>
  </si>
  <si>
    <t>100.695.4565.10</t>
  </si>
  <si>
    <t>100.695.4567.10</t>
  </si>
  <si>
    <t>100.695.4499.10</t>
  </si>
  <si>
    <t>JURY (FUND 110)</t>
  </si>
  <si>
    <t>110.695.4112.15</t>
  </si>
  <si>
    <t>110.695.4113.15</t>
  </si>
  <si>
    <t>110.695.4155.15</t>
  </si>
  <si>
    <t>110.695.4201.15</t>
  </si>
  <si>
    <t>110.695.4203.15</t>
  </si>
  <si>
    <t>110.695.4205.15</t>
  </si>
  <si>
    <t>110.695.4473.15</t>
  </si>
  <si>
    <t>110.695.4474.15</t>
  </si>
  <si>
    <t>110.695.4475.15</t>
  </si>
  <si>
    <t>110.695.4476.15</t>
  </si>
  <si>
    <t>110.695.4477.15</t>
  </si>
  <si>
    <t>110.695.4499.15</t>
  </si>
  <si>
    <t>110.695.4572.15</t>
  </si>
  <si>
    <t>120.695.4311.15</t>
  </si>
  <si>
    <t>140.610</t>
  </si>
  <si>
    <t>140.610.4102.10</t>
  </si>
  <si>
    <t>140.610.4111.10</t>
  </si>
  <si>
    <t>140.610.4151.10</t>
  </si>
  <si>
    <t>140.610.4155.10</t>
  </si>
  <si>
    <t>140.610.4201.10</t>
  </si>
  <si>
    <t>140.610.4203.10</t>
  </si>
  <si>
    <t>140.610.4205.10</t>
  </si>
  <si>
    <t>140.610.4271.10</t>
  </si>
  <si>
    <t>140.610.4272.10</t>
  </si>
  <si>
    <t>140.610.4311.10</t>
  </si>
  <si>
    <t>140.610.4321.10</t>
  </si>
  <si>
    <t>140.610.4421.10</t>
  </si>
  <si>
    <t>140.610.4429.10</t>
  </si>
  <si>
    <t>140.610.4481.10</t>
  </si>
  <si>
    <t>140.610.4499.10</t>
  </si>
  <si>
    <t>140.620</t>
  </si>
  <si>
    <t>140.620.4351.40</t>
  </si>
  <si>
    <t>140.620.4353.40</t>
  </si>
  <si>
    <t>140.620.4355.40</t>
  </si>
  <si>
    <t>140.620.4356.40</t>
  </si>
  <si>
    <t>140.620.4357.40</t>
  </si>
  <si>
    <t>140.620.4359.40</t>
  </si>
  <si>
    <t>140.620.4360.40</t>
  </si>
  <si>
    <t>140.620.4361.40</t>
  </si>
  <si>
    <t>140.620.4452.40</t>
  </si>
  <si>
    <t>140.620.4441.40</t>
  </si>
  <si>
    <t>140.620.4453.40</t>
  </si>
  <si>
    <t>140.620.4498.40</t>
  </si>
  <si>
    <t>140.620.4525.40</t>
  </si>
  <si>
    <t>140.620.4555.40</t>
  </si>
  <si>
    <t>140.620.4561.40</t>
  </si>
  <si>
    <t>140.620.4571.40</t>
  </si>
  <si>
    <t>140.620.4575.40</t>
  </si>
  <si>
    <t>140.620.4572.40</t>
  </si>
  <si>
    <t>180.543.4572.45</t>
  </si>
  <si>
    <t>220.551.4429.45</t>
  </si>
  <si>
    <t>220.552.4429.45</t>
  </si>
  <si>
    <t>220.553.4429.45</t>
  </si>
  <si>
    <t>220.554.4429.45</t>
  </si>
  <si>
    <t>220.543.4429.45</t>
  </si>
  <si>
    <t>220.454.4429.45</t>
  </si>
  <si>
    <t>220.554.4435.45</t>
  </si>
  <si>
    <t>STATE TRAINING (FUND 220)</t>
  </si>
  <si>
    <t>AIRPORT MAINTENANCE (FUND 240)</t>
  </si>
  <si>
    <t>240.695.4311.40</t>
  </si>
  <si>
    <t>100.552.4155.45</t>
  </si>
  <si>
    <t>100.552.4201.45</t>
  </si>
  <si>
    <t>100.552.4203.45</t>
  </si>
  <si>
    <t>100.552.4205.45</t>
  </si>
  <si>
    <t>100.552.4281.45</t>
  </si>
  <si>
    <t>100.552.4311.45</t>
  </si>
  <si>
    <t>100.552.4321.45</t>
  </si>
  <si>
    <t>240.695.4332.40</t>
  </si>
  <si>
    <t>240.695.4355.40</t>
  </si>
  <si>
    <t>240.695.4429.40</t>
  </si>
  <si>
    <t>240.695.4441.40</t>
  </si>
  <si>
    <t>240.695.4459.40</t>
  </si>
  <si>
    <t>240.695.4460.40</t>
  </si>
  <si>
    <t>240.695.4527.40</t>
  </si>
  <si>
    <t>240.695.4572.40</t>
  </si>
  <si>
    <t>260.499.4429.30</t>
  </si>
  <si>
    <t>260.499.4481.30</t>
  </si>
  <si>
    <t>260.499.4572.30</t>
  </si>
  <si>
    <t>VIT ESCROW (FUND 260)</t>
  </si>
  <si>
    <t>JUSTICE TECHNOLOGY (FUND 300)</t>
  </si>
  <si>
    <t>300.695.4578.10</t>
  </si>
  <si>
    <t>300.695.4572.10</t>
  </si>
  <si>
    <t>LAW LIBRARY (FUND 410)</t>
  </si>
  <si>
    <t>410.695.4103.15</t>
  </si>
  <si>
    <t>410.695.4572.15</t>
  </si>
  <si>
    <t>GENERAL FUND SUMMARY</t>
  </si>
  <si>
    <t>RECORDS PRESERVATION FUND (500-515)</t>
  </si>
  <si>
    <t>i</t>
  </si>
  <si>
    <t xml:space="preserve">     JAIL CONSTRUCTION</t>
  </si>
  <si>
    <t>OFFICE HELD</t>
  </si>
  <si>
    <t>COMMISSIONER PCT. #1</t>
  </si>
  <si>
    <t>COMMISSIONER PCT. #2</t>
  </si>
  <si>
    <t>COMMISSIONER PCT. #3</t>
  </si>
  <si>
    <t>CONSTABLE #2 (552)</t>
  </si>
  <si>
    <t>CONSTABLE #3 (553)</t>
  </si>
  <si>
    <t>CONSTABLE #4 (554)</t>
  </si>
  <si>
    <t>SHERIFF (561)</t>
  </si>
  <si>
    <t>JAIL EXPENSE (565)</t>
  </si>
  <si>
    <t>DPS (581)</t>
  </si>
  <si>
    <t xml:space="preserve">PUBLIC SAFETY (583) </t>
  </si>
  <si>
    <t xml:space="preserve">     HEALTH DEPARTMENT</t>
  </si>
  <si>
    <t>ON-SITE SEWAGE SERVICES (631)</t>
  </si>
  <si>
    <t>WELFARE (641)</t>
  </si>
  <si>
    <t>CULTURE &amp; RECREATION (651)</t>
  </si>
  <si>
    <t>100.631.4321.55</t>
  </si>
  <si>
    <t>100.665.4111.65</t>
  </si>
  <si>
    <t>100.665.4155.65</t>
  </si>
  <si>
    <t>100.665.4271.65</t>
  </si>
  <si>
    <t>100.665.4201.65</t>
  </si>
  <si>
    <t>100.665.4203.65</t>
  </si>
  <si>
    <t>100.665.4205.65</t>
  </si>
  <si>
    <t>100.665.4311.65</t>
  </si>
  <si>
    <t>100.665.4429.65</t>
  </si>
  <si>
    <t>100.665.4572.65</t>
  </si>
  <si>
    <t>100.690</t>
  </si>
  <si>
    <t>100.690.4787.70</t>
  </si>
  <si>
    <t>100.690.4790.70</t>
  </si>
  <si>
    <t>100.690.4788.70</t>
  </si>
  <si>
    <t>100.690.4792.70</t>
  </si>
  <si>
    <t>100.690.4789.70</t>
  </si>
  <si>
    <t>100.695</t>
  </si>
  <si>
    <t>100.695.4563.10</t>
  </si>
  <si>
    <t>COMMISSIONER PCT. #4</t>
  </si>
  <si>
    <t>COUNTY COURT AT LAW JUDGE</t>
  </si>
  <si>
    <t>710.695.4562.10</t>
  </si>
  <si>
    <t>Estimated disbursements for maintenance and operations from all funds included in the budget</t>
  </si>
  <si>
    <t>Respectfully submitted,</t>
  </si>
  <si>
    <t>____________________________________</t>
  </si>
  <si>
    <t>HARRISON COUNTY</t>
  </si>
  <si>
    <t>ELECTED COUNTY AND DISTRICT OFFICIALS</t>
  </si>
  <si>
    <t>COUNTY JUDGE</t>
  </si>
  <si>
    <t>COMMISSIONER, PRECINCT 1</t>
  </si>
  <si>
    <t>COMMISSIONER, PRECINCT 2</t>
  </si>
  <si>
    <t>COMMISSIONER, PRECINCT 3</t>
  </si>
  <si>
    <t>COMMISSIONER. PRECINCT 4</t>
  </si>
  <si>
    <t>COUNTY CLERK</t>
  </si>
  <si>
    <t>COUNTY COURT-AT-LAW JUDGE</t>
  </si>
  <si>
    <t>DISTRICT JUDGE</t>
  </si>
  <si>
    <t>DISTRICT CLERK</t>
  </si>
  <si>
    <t>DISTRICT ATTORNEY</t>
  </si>
  <si>
    <t>JUSTICE OF THE PEACE, PRECINCT 1</t>
  </si>
  <si>
    <t>JUSTICE OF THE PEACE, PRECINCT 2</t>
  </si>
  <si>
    <t>JUSTICE OF THE PEACE, PRECINCT 3</t>
  </si>
  <si>
    <t>MICHAEL SMITH</t>
  </si>
  <si>
    <t>100.561.4573.45</t>
  </si>
  <si>
    <t>LICENSES &amp; PERMITS</t>
  </si>
  <si>
    <t>FINES &amp; FORFEITURES</t>
  </si>
  <si>
    <t>460.576.4165.45</t>
  </si>
  <si>
    <t>450.570.4165.45</t>
  </si>
  <si>
    <t>220.330.3422.00</t>
  </si>
  <si>
    <t>220.330.3423.00</t>
  </si>
  <si>
    <t>220.330.3424.00</t>
  </si>
  <si>
    <t>220.330.3425.00</t>
  </si>
  <si>
    <t>220.330.3454.00</t>
  </si>
  <si>
    <t>220.360.3601.00</t>
  </si>
  <si>
    <t>220.360.3899.00</t>
  </si>
  <si>
    <t>240.310.3101.00</t>
  </si>
  <si>
    <t>240.310.3105.00</t>
  </si>
  <si>
    <t>100.402.4311.10</t>
  </si>
  <si>
    <t>100.402.4321.10</t>
  </si>
  <si>
    <t>100.402.4421.10</t>
  </si>
  <si>
    <t>100.402.4429.10</t>
  </si>
  <si>
    <t>100.402.4481.10</t>
  </si>
  <si>
    <t>100.402.4572.10</t>
  </si>
  <si>
    <t>100.403</t>
  </si>
  <si>
    <t>100.403.4101.10</t>
  </si>
  <si>
    <t>100.403.4104.10</t>
  </si>
  <si>
    <t>100.403.4155.10</t>
  </si>
  <si>
    <t>100.403.4201.10</t>
  </si>
  <si>
    <t>100.403.4203.10</t>
  </si>
  <si>
    <t>100.403.4205.10</t>
  </si>
  <si>
    <t>100.403.4311.10</t>
  </si>
  <si>
    <t>100.403.4321.10</t>
  </si>
  <si>
    <t>100.403.4429.10</t>
  </si>
  <si>
    <t>100.403.4459.10</t>
  </si>
  <si>
    <t>100.403.4481.10</t>
  </si>
  <si>
    <t>100.403.4572.10</t>
  </si>
  <si>
    <t>100.405</t>
  </si>
  <si>
    <t>100.405.4111.10</t>
  </si>
  <si>
    <t>100.405.4155.10</t>
  </si>
  <si>
    <t>100.405.4201.10</t>
  </si>
  <si>
    <t>100.405.4203.10</t>
  </si>
  <si>
    <t>100.405.4205.10</t>
  </si>
  <si>
    <t>100.631.4281.55</t>
  </si>
  <si>
    <t>100.405.4429.10</t>
  </si>
  <si>
    <t>100.407</t>
  </si>
  <si>
    <t>100.407.4102.25</t>
  </si>
  <si>
    <t>100.407.4104.25</t>
  </si>
  <si>
    <t>100.407.4155.25</t>
  </si>
  <si>
    <t>100.407.4201.25</t>
  </si>
  <si>
    <t>300.695.4421.10</t>
  </si>
  <si>
    <t>100.401.4109.10</t>
  </si>
  <si>
    <t>100.401.4155.10</t>
  </si>
  <si>
    <t>100.401.4201.10</t>
  </si>
  <si>
    <t>100.401.4203.10</t>
  </si>
  <si>
    <t>100.401.4205.10</t>
  </si>
  <si>
    <t>100.401.4311.10</t>
  </si>
  <si>
    <t>100.401.4321.10</t>
  </si>
  <si>
    <t>100.401.4421.10</t>
  </si>
  <si>
    <t>100.401.4429.10</t>
  </si>
  <si>
    <t>100.401.4481.10</t>
  </si>
  <si>
    <t>100.401.4572.10</t>
  </si>
  <si>
    <t>100.402</t>
  </si>
  <si>
    <t>100.402.4101.10</t>
  </si>
  <si>
    <t>100.402.4103.10</t>
  </si>
  <si>
    <t>100.402.4155.10</t>
  </si>
  <si>
    <t>100.402.4201.10</t>
  </si>
  <si>
    <t>100.402.4203.10</t>
  </si>
  <si>
    <t>100.402.4205.10</t>
  </si>
  <si>
    <t>JUVENILE SERVICES (FUND 450)</t>
  </si>
  <si>
    <t>CONSERVATION (661)</t>
  </si>
  <si>
    <t>EXTENSION AGENTS (665)</t>
  </si>
  <si>
    <t>6TH COURT OF APPEALS FUND (570)</t>
  </si>
  <si>
    <t>POOLED CASH (999)</t>
  </si>
  <si>
    <t>100.340.3494.00</t>
  </si>
  <si>
    <t>100.340.3495.00</t>
  </si>
  <si>
    <t>100.340.3719.00</t>
  </si>
  <si>
    <t>100.341.3431.00</t>
  </si>
  <si>
    <t>100.342.3431.00</t>
  </si>
  <si>
    <t>100.343.3431.00</t>
  </si>
  <si>
    <t>100.349.3431.00</t>
  </si>
  <si>
    <t>100.341.3438.00</t>
  </si>
  <si>
    <t>100.342.3438.00</t>
  </si>
  <si>
    <t>100.343.3438.00</t>
  </si>
  <si>
    <t>100.349.3438.00</t>
  </si>
  <si>
    <t>100.330.3206.00</t>
  </si>
  <si>
    <t>100.330.3205.00</t>
  </si>
  <si>
    <t>100.330.3207.00</t>
  </si>
  <si>
    <t>100.330.3705.00</t>
  </si>
  <si>
    <t>100.330.3711.00</t>
  </si>
  <si>
    <t>100.330.3724.00</t>
  </si>
  <si>
    <t>100.330.3731.00</t>
  </si>
  <si>
    <t>100.341.3433.00</t>
  </si>
  <si>
    <t>100.342.3433.00</t>
  </si>
  <si>
    <t>100.343.3433.00</t>
  </si>
  <si>
    <t xml:space="preserve">     2009 SHSP LEAP</t>
  </si>
  <si>
    <t xml:space="preserve">          SALARY-COUNTY GRANT</t>
  </si>
  <si>
    <t>100.554.4455.45</t>
  </si>
  <si>
    <t>JAIL ANNEX EXPENSE (564)</t>
  </si>
  <si>
    <t>100.565.4457.45</t>
  </si>
  <si>
    <t>100.565.4461.45</t>
  </si>
  <si>
    <t>(LONGEVITY, UNIFORM,
CELL PHONE &amp; CERTIFICATION
 PAY)</t>
  </si>
  <si>
    <t>220.330.3421.00</t>
  </si>
  <si>
    <t xml:space="preserve">     PARTS &amp; REPAIR</t>
  </si>
  <si>
    <t>HARRISON  COUNTY</t>
  </si>
  <si>
    <t>GOVERNMENTAL REVENUE</t>
  </si>
  <si>
    <t>100.454.4572.20</t>
  </si>
  <si>
    <t>100.360.3648.00</t>
  </si>
  <si>
    <t>100.360.3654.00</t>
  </si>
  <si>
    <t>100.561.4416.45</t>
  </si>
  <si>
    <t>100.360.3727.00</t>
  </si>
  <si>
    <t>100.365.3723.00</t>
  </si>
  <si>
    <t>100.454.4201.20</t>
  </si>
  <si>
    <t>100.454.4203.20</t>
  </si>
  <si>
    <t>100.454.4205.20</t>
  </si>
  <si>
    <t>100.454.4311.20</t>
  </si>
  <si>
    <t>100.454.4321.20</t>
  </si>
  <si>
    <t>100.454.4417.20</t>
  </si>
  <si>
    <t>100.454.4421.20</t>
  </si>
  <si>
    <t>100.454.4429.20</t>
  </si>
  <si>
    <t>100.454.4457.20</t>
  </si>
  <si>
    <t>100.454.4481.20</t>
  </si>
  <si>
    <t>SUB-TOTAL-MAINTENANCE</t>
  </si>
  <si>
    <t>JUVENILE - BOOT CAMP (FUND 470)</t>
  </si>
  <si>
    <t>SIXTH COURT OF APPEALS (FUND 570)</t>
  </si>
  <si>
    <t xml:space="preserve">     2011 CAPITAL LEASE-RB-MG-#005-PRINCIPAL</t>
  </si>
  <si>
    <t xml:space="preserve">     2011 CAPITAL LEASE-RB-MG-#005 INTEREST</t>
  </si>
  <si>
    <t xml:space="preserve">     2012 CAPITAL LEASE-SO/RB #006 PRINCIPAL</t>
  </si>
  <si>
    <t xml:space="preserve">     2012 CAPITAL LEASE-SO/RB #006 INTEREST</t>
  </si>
  <si>
    <t>610.695.4689.90</t>
  </si>
  <si>
    <t>610.695.4690.95</t>
  </si>
  <si>
    <t>610.695.4692.90</t>
  </si>
  <si>
    <t>100.553.4321.45</t>
  </si>
  <si>
    <t>100.564</t>
  </si>
  <si>
    <t>100.564.4151.45</t>
  </si>
  <si>
    <t>100.564.4118.45</t>
  </si>
  <si>
    <t>100.564.4155.45</t>
  </si>
  <si>
    <t>100.564.4165.45</t>
  </si>
  <si>
    <t>100.564.4201.45</t>
  </si>
  <si>
    <t>100.564.4203.45</t>
  </si>
  <si>
    <t>100.564.4205.45</t>
  </si>
  <si>
    <t>100.564.4281.45</t>
  </si>
  <si>
    <t>100.564.4311.45</t>
  </si>
  <si>
    <t>100.564.4321.45</t>
  </si>
  <si>
    <t>100.564.4332.45</t>
  </si>
  <si>
    <t>100.564.4334.45</t>
  </si>
  <si>
    <t>100.564.4336.45</t>
  </si>
  <si>
    <t>100.564.4396.45</t>
  </si>
  <si>
    <t>100.564.4459.45</t>
  </si>
  <si>
    <t>100.564.4572.45</t>
  </si>
  <si>
    <t>100.564.4783.45</t>
  </si>
  <si>
    <t>100.340.3426.00</t>
  </si>
  <si>
    <t>100.340.3498.00</t>
  </si>
  <si>
    <t>100.407.4487.25</t>
  </si>
  <si>
    <t>100.407.4489.25</t>
  </si>
  <si>
    <t>100.565.4429.45</t>
  </si>
  <si>
    <t>SUB-TOTAL-ADMIN</t>
  </si>
  <si>
    <t>MAINTENANCE-R&amp;B (620)</t>
  </si>
  <si>
    <t>450.692.4201.45</t>
  </si>
  <si>
    <t>450.692.4203.45</t>
  </si>
  <si>
    <t>450.692.4205.45</t>
  </si>
  <si>
    <t>450.692.4311.45</t>
  </si>
  <si>
    <t>450.692.4334.45</t>
  </si>
  <si>
    <t>450.692.4572.45</t>
  </si>
  <si>
    <t>Final Maturity</t>
  </si>
  <si>
    <t>100.407.4486.25</t>
  </si>
  <si>
    <t>100.330.3208.00</t>
  </si>
  <si>
    <t>100.360.3653.00</t>
  </si>
  <si>
    <t xml:space="preserve">     TOBACCO SETTLEMENT</t>
  </si>
  <si>
    <t xml:space="preserve">     EMERGENCY OPERATIONS</t>
  </si>
  <si>
    <t>100.564.4583.45</t>
  </si>
  <si>
    <t>Estimated Total Taxable Value</t>
  </si>
  <si>
    <t>BancorpSouth</t>
  </si>
  <si>
    <t>General Obligations</t>
  </si>
  <si>
    <t>100.451.4104.15</t>
  </si>
  <si>
    <t>100.451.4155.15</t>
  </si>
  <si>
    <t>100.451.4201.15</t>
  </si>
  <si>
    <t>100.451.4203.15</t>
  </si>
  <si>
    <t>100.451.4205.15</t>
  </si>
  <si>
    <t>100.451.4311.15</t>
  </si>
  <si>
    <t>100.451.4321.15</t>
  </si>
  <si>
    <t>100.451.4429.15</t>
  </si>
  <si>
    <t>100.451.4481.15</t>
  </si>
  <si>
    <t>100.451.4572.15</t>
  </si>
  <si>
    <t>100.454</t>
  </si>
  <si>
    <t>100.454.4101.20</t>
  </si>
  <si>
    <t>COUNTY COURT-AT-LAW (426)</t>
  </si>
  <si>
    <t>TOTAL ADJUSTED TAXABLE VALUE</t>
  </si>
  <si>
    <t>TAX CEILING RECEIVABLE</t>
  </si>
  <si>
    <t>TOTAL TAX LEVY</t>
  </si>
  <si>
    <t>DISTRICT JUDGE (435)</t>
  </si>
  <si>
    <t>DISTRICT CLERK (451)</t>
  </si>
  <si>
    <t xml:space="preserve">JUVENILE STATE AID - GRANT "X"   </t>
  </si>
  <si>
    <t>DISTRICT ATTORNEY (454)</t>
  </si>
  <si>
    <t>DISBURSEMENTS (EXPENDITURES)</t>
  </si>
  <si>
    <t>JUSTICE OF THE PEACE #1 (461)</t>
  </si>
  <si>
    <t>JUSTICE OF THE PEACE #3 (463)</t>
  </si>
  <si>
    <t>JUSTICE OF THE PEACE #4-1 (465)</t>
  </si>
  <si>
    <t>100.465</t>
  </si>
  <si>
    <t>450.330.3389.00</t>
  </si>
  <si>
    <t>450.692.4145.45</t>
  </si>
  <si>
    <t>450.692.4155.45</t>
  </si>
  <si>
    <t>100.471.4406.20</t>
  </si>
  <si>
    <t>100.471.4407.20</t>
  </si>
  <si>
    <t>100.471.4408.20</t>
  </si>
  <si>
    <t>100.471.4409.20</t>
  </si>
  <si>
    <t>100.471.4495.20</t>
  </si>
  <si>
    <t>100.471.4496.20</t>
  </si>
  <si>
    <t>100.495</t>
  </si>
  <si>
    <t>100.495.4102.30</t>
  </si>
  <si>
    <t>100.495.4105.30</t>
  </si>
  <si>
    <t>100.495.4155.30</t>
  </si>
  <si>
    <t>100.495.4201.30</t>
  </si>
  <si>
    <t>LEVY</t>
  </si>
  <si>
    <t>100.495.4203.30</t>
  </si>
  <si>
    <t>100.495.4205.30</t>
  </si>
  <si>
    <t>100.495.4311.30</t>
  </si>
  <si>
    <t>100.495.4321.30</t>
  </si>
  <si>
    <t>100.495.4401.30</t>
  </si>
  <si>
    <t>100.495.4429.30</t>
  </si>
  <si>
    <t>100.495.4481.30</t>
  </si>
  <si>
    <t>100.495.4572.30</t>
  </si>
  <si>
    <t>100.496</t>
  </si>
  <si>
    <t>100.496.4102.10</t>
  </si>
  <si>
    <t>100.496.4105.10</t>
  </si>
  <si>
    <t>100.496.4155.10</t>
  </si>
  <si>
    <t>100.496.4201.10</t>
  </si>
  <si>
    <t>100.496.4203.10</t>
  </si>
  <si>
    <t>100.496.4205.10</t>
  </si>
  <si>
    <t>100.496.4311.10</t>
  </si>
  <si>
    <t>100.496.4321.10</t>
  </si>
  <si>
    <t>100.496.4429.10</t>
  </si>
  <si>
    <t>100.496.4572.10</t>
  </si>
  <si>
    <t>100.497</t>
  </si>
  <si>
    <t>100.497.4101.30</t>
  </si>
  <si>
    <t>100.497.4104.30</t>
  </si>
  <si>
    <t>100.497.4155.30</t>
  </si>
  <si>
    <t>100.497.4205.30</t>
  </si>
  <si>
    <t>100.497.4203.30</t>
  </si>
  <si>
    <t>100.497.4201.30</t>
  </si>
  <si>
    <t>100.497.4311.30</t>
  </si>
  <si>
    <t>100.497.4321.30</t>
  </si>
  <si>
    <t>100.497.4429.30</t>
  </si>
  <si>
    <t>100.497.4481.30</t>
  </si>
  <si>
    <t>100.497.4572.30</t>
  </si>
  <si>
    <t>100.499</t>
  </si>
  <si>
    <t>100.499.4101.30</t>
  </si>
  <si>
    <t>100.499.4104.30</t>
  </si>
  <si>
    <t>100.499.4117.30</t>
  </si>
  <si>
    <t>100.499.4155.30</t>
  </si>
  <si>
    <t>100.499.4201.30</t>
  </si>
  <si>
    <t>100.499.4203.30</t>
  </si>
  <si>
    <t>100.499.4205.30</t>
  </si>
  <si>
    <t>SECURITY FUND ( FUND 550)</t>
  </si>
  <si>
    <t>551.521.4793.45</t>
  </si>
  <si>
    <t>610.695.4683.90</t>
  </si>
  <si>
    <t>610.695.4684.95</t>
  </si>
  <si>
    <t>570.349.3453.00</t>
  </si>
  <si>
    <t>570.403.4443.00</t>
  </si>
  <si>
    <t>SIXTH COURT OF APPEALS ( FUND 570)</t>
  </si>
  <si>
    <t>PERMANENT IMPROVEMENT FUND</t>
  </si>
  <si>
    <t>JAIL CONSTRUCTION FUND</t>
  </si>
  <si>
    <t>BALANCE BEGINNING OF YEAR</t>
  </si>
  <si>
    <t>JUSTICE OF THE PEACE PCT. #2</t>
  </si>
  <si>
    <t xml:space="preserve">     2009 SHSP MOBILE COMMAND POST GRANT</t>
  </si>
  <si>
    <t>490.330.3744.00</t>
  </si>
  <si>
    <t xml:space="preserve">     2010 SHSP (WEST HARRISON HCSO &amp; VOTERS)</t>
  </si>
  <si>
    <t>490.330.3745.00</t>
  </si>
  <si>
    <t xml:space="preserve">     2010 SHSP - LETPA</t>
  </si>
  <si>
    <t>490.330.3746.00</t>
  </si>
  <si>
    <t xml:space="preserve">     2011 SHSP - LETPA (SO RADIO)</t>
  </si>
  <si>
    <t xml:space="preserve">     2008 TXCDBG DISASTER RECOVERY GENERATORS </t>
  </si>
  <si>
    <t>490.701.4205.55</t>
  </si>
  <si>
    <t>490.713</t>
  </si>
  <si>
    <t>490.713.4572.45</t>
  </si>
  <si>
    <t>490.714</t>
  </si>
  <si>
    <t xml:space="preserve">     2009 SHSP-GRANT MOBILE COMMAND POST</t>
  </si>
  <si>
    <t>490.714.4572.45</t>
  </si>
  <si>
    <t>490.716</t>
  </si>
  <si>
    <t>490.716.4572.45</t>
  </si>
  <si>
    <t>490.717</t>
  </si>
  <si>
    <t xml:space="preserve">     2010 HOMELAND SECURITY-LETPA</t>
  </si>
  <si>
    <t>490.717.4572.45</t>
  </si>
  <si>
    <t>490.718</t>
  </si>
  <si>
    <t>490.718.4572.45</t>
  </si>
  <si>
    <t>100.426.4201.15</t>
  </si>
  <si>
    <t>100.426.4203.15</t>
  </si>
  <si>
    <t>100.426.4205.15</t>
  </si>
  <si>
    <t>100.426.4311.15</t>
  </si>
  <si>
    <t>100.426.4321.15</t>
  </si>
  <si>
    <t>100.426.4429.15</t>
  </si>
  <si>
    <t>100.426.4481.15</t>
  </si>
  <si>
    <t>100.426.4572.15</t>
  </si>
  <si>
    <t>100.435</t>
  </si>
  <si>
    <t>100.435.4101.15</t>
  </si>
  <si>
    <t>100.435.4114.15</t>
  </si>
  <si>
    <t>100.435.4131.15</t>
  </si>
  <si>
    <t>100.435.4155.15</t>
  </si>
  <si>
    <t>100.435.4201.15</t>
  </si>
  <si>
    <t>100.435.4203.15</t>
  </si>
  <si>
    <t>100.435.4205.15</t>
  </si>
  <si>
    <t>100.435.4311.15</t>
  </si>
  <si>
    <t>100.435.4321.15</t>
  </si>
  <si>
    <t>DISMISSAL, DDC, TRAFFIC</t>
  </si>
  <si>
    <t>JUVENILE STATE AID - GRANT "H"</t>
  </si>
  <si>
    <t xml:space="preserve">     INTEREST</t>
  </si>
  <si>
    <t>100.465.4205.15</t>
  </si>
  <si>
    <t>100.465.4311.15</t>
  </si>
  <si>
    <t>100.465.4321.15</t>
  </si>
  <si>
    <t>100.465.4421.15</t>
  </si>
  <si>
    <t xml:space="preserve">GENERAL FUND (100) </t>
  </si>
  <si>
    <t>100.341</t>
  </si>
  <si>
    <t>100.360</t>
  </si>
  <si>
    <t>GENERAL FUND (FUND 100)</t>
  </si>
  <si>
    <t>GENERAL FUND (100)</t>
  </si>
  <si>
    <t>BAIL BOND (FUND 120)</t>
  </si>
  <si>
    <t>ROAD &amp; BRIDGE (FUND 140)</t>
  </si>
  <si>
    <t>ROAD &amp; BRIDGE FUND (140)</t>
  </si>
  <si>
    <t>140.310</t>
  </si>
  <si>
    <t>140.320</t>
  </si>
  <si>
    <t>140.330</t>
  </si>
  <si>
    <t>140.350</t>
  </si>
  <si>
    <t>140.360</t>
  </si>
  <si>
    <t>EMERGENCY OPERATION (FUND 180)</t>
  </si>
  <si>
    <t>450.310</t>
  </si>
  <si>
    <t>450.330</t>
  </si>
  <si>
    <t>450.340</t>
  </si>
  <si>
    <t>450.360</t>
  </si>
  <si>
    <t>460.330</t>
  </si>
  <si>
    <t>570.349.3452.00</t>
  </si>
  <si>
    <t>100.631.4428.55</t>
  </si>
  <si>
    <t>100.409.4487.10</t>
  </si>
  <si>
    <t>100.631.4491.55</t>
  </si>
  <si>
    <t>100.631.4572.55</t>
  </si>
  <si>
    <t>100.641</t>
  </si>
  <si>
    <t>100.641.4201.55</t>
  </si>
  <si>
    <t>100.641.4102.55</t>
  </si>
  <si>
    <t>100.641.4104.55</t>
  </si>
  <si>
    <t>100.641.4155.55</t>
  </si>
  <si>
    <t>100.641.4203.55</t>
  </si>
  <si>
    <t>100.641.4205.55</t>
  </si>
  <si>
    <t>100.641.4311.55</t>
  </si>
  <si>
    <t>100.641.4321.55</t>
  </si>
  <si>
    <t>100.641.4429.55</t>
  </si>
  <si>
    <t>100.641.4572.55</t>
  </si>
  <si>
    <t>100.651</t>
  </si>
  <si>
    <t>100.651.4711.60</t>
  </si>
  <si>
    <t>100.651.4712.60</t>
  </si>
  <si>
    <t>100.651.4720.60</t>
  </si>
  <si>
    <t>100.651.4761.60</t>
  </si>
  <si>
    <t>100.651.4762.60</t>
  </si>
  <si>
    <t>100.661</t>
  </si>
  <si>
    <t>100.661.4701.65</t>
  </si>
  <si>
    <t>100.661.4780.65</t>
  </si>
  <si>
    <t>100.665</t>
  </si>
  <si>
    <t>100.665.4102.65</t>
  </si>
  <si>
    <t>100.565.4575.45</t>
  </si>
  <si>
    <t>SUB-TOTAL</t>
  </si>
  <si>
    <t>COUNTY GRANTS</t>
  </si>
  <si>
    <t xml:space="preserve">          SOCIAL SECURITY</t>
  </si>
  <si>
    <t xml:space="preserve">          RETIREMENT</t>
  </si>
  <si>
    <t xml:space="preserve">          EQUIPMENT/MAINTENANCE</t>
  </si>
  <si>
    <t xml:space="preserve">     VITAL RECORD FEES</t>
  </si>
  <si>
    <t>450.570.4100.45</t>
  </si>
  <si>
    <t>450.570.4109.45</t>
  </si>
  <si>
    <t>450.570.4151.45</t>
  </si>
  <si>
    <t>450.570.4155.45</t>
  </si>
  <si>
    <t>450.570.4201.45</t>
  </si>
  <si>
    <t>450.570.4205.45</t>
  </si>
  <si>
    <t>450.570.4203.45</t>
  </si>
  <si>
    <t>450.570.4281.45</t>
  </si>
  <si>
    <t>460.576.4151.45</t>
  </si>
  <si>
    <t xml:space="preserve">     COURTHOUSE MAINTENANCE</t>
  </si>
  <si>
    <t>ELEVATOR FUND</t>
  </si>
  <si>
    <t>JUVENILE TITLE IV-E FUND</t>
  </si>
  <si>
    <t>460.576.4402.45</t>
  </si>
  <si>
    <t>450.570.4311.45</t>
  </si>
  <si>
    <t>450.570.4313.45</t>
  </si>
  <si>
    <t>460.330.3378.00</t>
  </si>
  <si>
    <t>460.582</t>
  </si>
  <si>
    <t>460.582.4402.45</t>
  </si>
  <si>
    <t>460.582.4783.45</t>
  </si>
  <si>
    <t>460.582.4785.45</t>
  </si>
  <si>
    <t>100.501.4429.30</t>
  </si>
  <si>
    <t>100.501.4481.30</t>
  </si>
  <si>
    <t>100.501.4572.30</t>
  </si>
  <si>
    <t>100.503</t>
  </si>
  <si>
    <t>100.503.4102.30</t>
  </si>
  <si>
    <t>100.503.4105.30</t>
  </si>
  <si>
    <t>100.503.4117.30</t>
  </si>
  <si>
    <t>100.503.4271.30</t>
  </si>
  <si>
    <t>100.503.4155.30</t>
  </si>
  <si>
    <t>100.503.4201.30</t>
  </si>
  <si>
    <t>100.503.4203.30</t>
  </si>
  <si>
    <t>100.503.4205.30</t>
  </si>
  <si>
    <t>100.503.4311.30</t>
  </si>
  <si>
    <t>100.503.4321.30</t>
  </si>
  <si>
    <t>100.503.4421.30</t>
  </si>
  <si>
    <t>100.503.4429.30</t>
  </si>
  <si>
    <t>100.503.4572.30</t>
  </si>
  <si>
    <t>100.511</t>
  </si>
  <si>
    <t>100.511.4102.35</t>
  </si>
  <si>
    <t>100.511.4115.35</t>
  </si>
  <si>
    <t>100.511.4105.35</t>
  </si>
  <si>
    <t>100.511.4134.35</t>
  </si>
  <si>
    <t>100.511.4155.35</t>
  </si>
  <si>
    <t>100.511.4271.35</t>
  </si>
  <si>
    <t>100.511.4201.35</t>
  </si>
  <si>
    <t>100.511.4203.35</t>
  </si>
  <si>
    <t>100.511.4205.35</t>
  </si>
  <si>
    <t>100.511.4281.35</t>
  </si>
  <si>
    <t>100.511.4311.35</t>
  </si>
  <si>
    <t>100.451.4272.15</t>
  </si>
  <si>
    <t>100.499.4272.30</t>
  </si>
  <si>
    <t>100.451.4117.15</t>
  </si>
  <si>
    <t>100.631.4155.55</t>
  </si>
  <si>
    <t>100.641.4117.55</t>
  </si>
  <si>
    <t>330.695.4203.15</t>
  </si>
  <si>
    <t>140.610.4450.10</t>
  </si>
  <si>
    <t>100.401.4117.10</t>
  </si>
  <si>
    <t>100.565.4151.45</t>
  </si>
  <si>
    <t>100.565.4118.45</t>
  </si>
  <si>
    <t>100.565.4155.45</t>
  </si>
  <si>
    <t>100.565.4165.45</t>
  </si>
  <si>
    <t>100.565.4201.45</t>
  </si>
  <si>
    <t>100.565.4203.45</t>
  </si>
  <si>
    <t>100.565.4205.45</t>
  </si>
  <si>
    <t>100.565.4281.45</t>
  </si>
  <si>
    <t>100.565.4311.45</t>
  </si>
  <si>
    <t>100.565.4321.45</t>
  </si>
  <si>
    <t>100.565.4334.45</t>
  </si>
  <si>
    <t>100.565.4336.45</t>
  </si>
  <si>
    <t>100.565.4396.45</t>
  </si>
  <si>
    <t>100.565.4459.45</t>
  </si>
  <si>
    <t>100.565.4572.45</t>
  </si>
  <si>
    <t>100.565.4485.45</t>
  </si>
  <si>
    <t>100.565.4783.45</t>
  </si>
  <si>
    <t>100.566</t>
  </si>
  <si>
    <t>100.566.4102.30</t>
  </si>
  <si>
    <t>100.566.4111.30</t>
  </si>
  <si>
    <t>100.566.4155.30</t>
  </si>
  <si>
    <t>100.566.4201.30</t>
  </si>
  <si>
    <t>100.543.4271.45</t>
  </si>
  <si>
    <t>100.566.4203.30</t>
  </si>
  <si>
    <t>100.566.4205.30</t>
  </si>
  <si>
    <t>PERCENTAGE</t>
  </si>
  <si>
    <t>REVENUES</t>
  </si>
  <si>
    <t xml:space="preserve">GENERAL FUND </t>
  </si>
  <si>
    <t>STAR BOOT CAMP FUND</t>
  </si>
  <si>
    <t>TOTAL</t>
  </si>
  <si>
    <t>Budgeted revenues reflect a projected  98% collection rate.</t>
  </si>
  <si>
    <t>CASH</t>
  </si>
  <si>
    <t>INVESTMENTS</t>
  </si>
  <si>
    <t>490.935.4551.55</t>
  </si>
  <si>
    <t>490.935.4552.55</t>
  </si>
  <si>
    <t>490.935.4553.55</t>
  </si>
  <si>
    <t>JUVENILE GRANT (FUND 460)</t>
  </si>
  <si>
    <t>460.576.4141.45</t>
  </si>
  <si>
    <t>460.576.4109.45</t>
  </si>
  <si>
    <t>460.576.4201.45</t>
  </si>
  <si>
    <t>460.576.4203.45</t>
  </si>
  <si>
    <t>460.576.4205.45</t>
  </si>
  <si>
    <t>460.576.4311.45</t>
  </si>
  <si>
    <t>460.576.4429.45</t>
  </si>
  <si>
    <t>460.576.4572.45</t>
  </si>
  <si>
    <t>460.578</t>
  </si>
  <si>
    <t>460.578.4142.45</t>
  </si>
  <si>
    <t>100.409.4482.10</t>
  </si>
  <si>
    <t>100.409.4492.10</t>
  </si>
  <si>
    <t>100.641.4578.55</t>
  </si>
  <si>
    <t>450.570.4457.45</t>
  </si>
  <si>
    <t>TRANSFERS IN/(OUT)</t>
  </si>
  <si>
    <t xml:space="preserve"> ALL FUND BALANCE RECAP</t>
  </si>
  <si>
    <t>100.511.4332.35</t>
  </si>
  <si>
    <t>100.511.4421.35</t>
  </si>
  <si>
    <t>100.511.4441.35</t>
  </si>
  <si>
    <t>100.511.4458.35</t>
  </si>
  <si>
    <t>100.511.4429.35</t>
  </si>
  <si>
    <t>100.511.4459.35</t>
  </si>
  <si>
    <t>100.511.4572.35</t>
  </si>
  <si>
    <t>100.543</t>
  </si>
  <si>
    <t>100.543.4102.45</t>
  </si>
  <si>
    <t>100.543.4110.45</t>
  </si>
  <si>
    <t>100.543.4111.45</t>
  </si>
  <si>
    <t>100.543.4155.45</t>
  </si>
  <si>
    <t>100.543.4165.45</t>
  </si>
  <si>
    <t>100.543.4201.45</t>
  </si>
  <si>
    <t>100.543.4203.45</t>
  </si>
  <si>
    <t>100.543.4205.45</t>
  </si>
  <si>
    <t xml:space="preserve">     INTEREST &amp; SINKING</t>
  </si>
  <si>
    <t xml:space="preserve">     PERMANENT IMPROVEMENT</t>
  </si>
  <si>
    <t>CAPITAL IMPROVEMENT PROJECTS</t>
  </si>
  <si>
    <t>450.310.3101.00</t>
  </si>
  <si>
    <t>450.310.3105.00</t>
  </si>
  <si>
    <t>450.330.3385.00</t>
  </si>
  <si>
    <t>450.340.3471.00</t>
  </si>
  <si>
    <t>450.340.3711.00</t>
  </si>
  <si>
    <t>450.360.3601.00</t>
  </si>
  <si>
    <t>450.360.3645.00</t>
  </si>
  <si>
    <t>450.360.3727.00</t>
  </si>
  <si>
    <t>450.360.3899.00</t>
  </si>
  <si>
    <t>460.330.3371.00</t>
  </si>
  <si>
    <t>460.330.3373.00</t>
  </si>
  <si>
    <t>460.330.3376.00</t>
  </si>
  <si>
    <t>460.330.3361.00</t>
  </si>
  <si>
    <t>460.330.3390.00</t>
  </si>
  <si>
    <t>JUVENILE STATE AID - GRANT "N"</t>
  </si>
  <si>
    <t>460.690.4201.45</t>
  </si>
  <si>
    <t>460.690.4203.45</t>
  </si>
  <si>
    <t>460.690.4205.45</t>
  </si>
  <si>
    <t>460.690.4311.45</t>
  </si>
  <si>
    <t>460.690.4429.45</t>
  </si>
  <si>
    <t>460.574</t>
  </si>
  <si>
    <t>460.574.4109.45</t>
  </si>
  <si>
    <t>JUSTICE OF THE PEACE PCT. #4</t>
  </si>
  <si>
    <t>100.407.4203.25</t>
  </si>
  <si>
    <t>100.407.4205.25</t>
  </si>
  <si>
    <t>100.407.4311.25</t>
  </si>
  <si>
    <t>100.407.4321.25</t>
  </si>
  <si>
    <t>100.407.4341.25</t>
  </si>
  <si>
    <t>100.407.4421.25</t>
  </si>
  <si>
    <t>100.407.4429.25</t>
  </si>
  <si>
    <t>100.407.4481.25</t>
  </si>
  <si>
    <t>100.407.4488.25</t>
  </si>
  <si>
    <t>100.407.4572.25</t>
  </si>
  <si>
    <t>100.407.4578.25</t>
  </si>
  <si>
    <t>100.409</t>
  </si>
  <si>
    <t>100.409.4205.10</t>
  </si>
  <si>
    <t>100.409.4206.10</t>
  </si>
  <si>
    <t>100.409.4207.10</t>
  </si>
  <si>
    <t>100.409.4208.10</t>
  </si>
  <si>
    <t>100.409.4321.10</t>
  </si>
  <si>
    <t>100.409.4332.10</t>
  </si>
  <si>
    <t>CASE MANAGER (FUND 330)</t>
  </si>
  <si>
    <t>330.695.4117.15</t>
  </si>
  <si>
    <t>330.695.4201.15</t>
  </si>
  <si>
    <t>330.695.4271.15</t>
  </si>
  <si>
    <t>330.695.4311.15</t>
  </si>
  <si>
    <t>100.543.4724.45</t>
  </si>
  <si>
    <t>100.543.4726.45</t>
  </si>
  <si>
    <t>100.543.4727.45</t>
  </si>
  <si>
    <t>100.543.4729.45</t>
  </si>
  <si>
    <t>100.543.4731.45</t>
  </si>
  <si>
    <t xml:space="preserve">     ENERGY SAVINGS PERF.CONTRACT</t>
  </si>
  <si>
    <t>SUB-CRTHSE SECURITY (FUND 551)</t>
  </si>
  <si>
    <t>SUB-CRTHSE SECURITY ( FUND 551)</t>
  </si>
  <si>
    <t>570.451.4443.00</t>
  </si>
  <si>
    <t>740.321.3715.00</t>
  </si>
  <si>
    <t>740.360.3601.00</t>
  </si>
  <si>
    <t>750.310.3101.00</t>
  </si>
  <si>
    <t>750.310.3105.00</t>
  </si>
  <si>
    <t>750.360.3601.00</t>
  </si>
  <si>
    <t>890.330.3206.00</t>
  </si>
  <si>
    <t>890.340.3418.00</t>
  </si>
  <si>
    <t>890.340.3645.00</t>
  </si>
  <si>
    <t>890.350.3645.00</t>
  </si>
  <si>
    <t>890.350.3514.00</t>
  </si>
  <si>
    <t>890.360.3601.00</t>
  </si>
  <si>
    <t>610.310.3101.00</t>
  </si>
  <si>
    <t>610.310.3105.00</t>
  </si>
  <si>
    <t>610.360.3601.00</t>
  </si>
  <si>
    <t>710.310.3101.00</t>
  </si>
  <si>
    <t>710.310.3105.00</t>
  </si>
  <si>
    <t>710.360.3601.00</t>
  </si>
  <si>
    <t>720.310.3101.00</t>
  </si>
  <si>
    <t>720.310.3105.00</t>
  </si>
  <si>
    <t>720.330.3911.00</t>
  </si>
  <si>
    <t>720.360.3601.00</t>
  </si>
  <si>
    <t>730.310.3101.00</t>
  </si>
  <si>
    <t>730.310.3105.00</t>
  </si>
  <si>
    <t>730.330.3911.00</t>
  </si>
  <si>
    <t>730.330.3912.00</t>
  </si>
  <si>
    <t>730.360.3601.00</t>
  </si>
  <si>
    <t>1-2</t>
  </si>
  <si>
    <t>ON-SITE SEWAGE FACILITY</t>
  </si>
  <si>
    <t>ELECTION CONTRACTS FUND</t>
  </si>
  <si>
    <t>ROAD DAMAGE FUND</t>
  </si>
  <si>
    <t>CONSTABLES TRAINING/FORF FUND</t>
  </si>
  <si>
    <t>CASE MANAGER FUND</t>
  </si>
  <si>
    <t>RECORDS ARCHIVES FUND (511)</t>
  </si>
  <si>
    <t>VITAL ARCHIVES FUND (512)</t>
  </si>
  <si>
    <t>100.554.4457.45</t>
  </si>
  <si>
    <t>100.554.4481.45</t>
  </si>
  <si>
    <t>100.554.4575.45</t>
  </si>
  <si>
    <t>100.554.4572.45</t>
  </si>
  <si>
    <t>100.561</t>
  </si>
  <si>
    <t>100.561.4101.45</t>
  </si>
  <si>
    <t>100.561.4104.45</t>
  </si>
  <si>
    <t>100.561.4111.45</t>
  </si>
  <si>
    <t>100.561.4118.45</t>
  </si>
  <si>
    <t>100.561.4165.45</t>
  </si>
  <si>
    <t>100.561.4155.45</t>
  </si>
  <si>
    <t>100.561.4201.45</t>
  </si>
  <si>
    <t>100.561.4203.45</t>
  </si>
  <si>
    <t>100.561.4205.45</t>
  </si>
  <si>
    <t>100.561.4282.45</t>
  </si>
  <si>
    <t>100.561.4281.45</t>
  </si>
  <si>
    <t>100.403.4117.10</t>
  </si>
  <si>
    <t>100.511.4117.35</t>
  </si>
  <si>
    <t>100.561.4153.45</t>
  </si>
  <si>
    <t>140.610.4117.10</t>
  </si>
  <si>
    <t>100.561.4311.45</t>
  </si>
  <si>
    <t>100.561.4321.45</t>
  </si>
  <si>
    <t>100.561.4335.45</t>
  </si>
  <si>
    <t>100.561.4355.45</t>
  </si>
  <si>
    <t>100.561.4396.45</t>
  </si>
  <si>
    <t>100.561.4397.45</t>
  </si>
  <si>
    <t>100.561.4417.45</t>
  </si>
  <si>
    <t>100.561.4421.45</t>
  </si>
  <si>
    <t>100.561.4426.45</t>
  </si>
  <si>
    <t>100.561.4429.45</t>
  </si>
  <si>
    <t>100.561.4457.45</t>
  </si>
  <si>
    <t>100.561.4461.45</t>
  </si>
  <si>
    <t>100.561.4481.45</t>
  </si>
  <si>
    <t>100.561.4499.45</t>
  </si>
  <si>
    <t>100.561.4572.45</t>
  </si>
  <si>
    <t>100.561.4575.45</t>
  </si>
  <si>
    <t>100.561.4583.45</t>
  </si>
  <si>
    <t>100.565</t>
  </si>
  <si>
    <t>LEGAL EXPENSE (471)</t>
  </si>
  <si>
    <t>100.409.4204.10</t>
  </si>
  <si>
    <t>COUNTY AUDITOR (495)</t>
  </si>
  <si>
    <t>HUMAN RESOURCES (496)</t>
  </si>
  <si>
    <t>COUNTY TREASURER (497)</t>
  </si>
  <si>
    <t>TAX COLLECTOR (499)</t>
  </si>
  <si>
    <t>PURCHASING (501)</t>
  </si>
  <si>
    <t>BUILDING MAINTENANCE (511)</t>
  </si>
  <si>
    <t>FIRE MARSHAL (543)</t>
  </si>
  <si>
    <t>120.695.4410.15</t>
  </si>
  <si>
    <t>120.695.4499.15</t>
  </si>
  <si>
    <t>100.552.4421.45</t>
  </si>
  <si>
    <t>100.552.4355.45</t>
  </si>
  <si>
    <t>100.552.4429.45</t>
  </si>
  <si>
    <t>100.552.4457.45</t>
  </si>
  <si>
    <t>100.552.4481.45</t>
  </si>
  <si>
    <t>100.552.4572.45</t>
  </si>
  <si>
    <t>100.552.4575.45</t>
  </si>
  <si>
    <t>100.553</t>
  </si>
  <si>
    <t>100.553.4101.45</t>
  </si>
  <si>
    <t>100.553.4155.45</t>
  </si>
  <si>
    <t>100.553.4165.45</t>
  </si>
  <si>
    <t>100.553.4201.45</t>
  </si>
  <si>
    <t>100.553.4203.45</t>
  </si>
  <si>
    <t>100.553.4205.45</t>
  </si>
  <si>
    <t>100.553.4281.45</t>
  </si>
  <si>
    <t>100.553.4311.45</t>
  </si>
  <si>
    <t>100.553.4421.45</t>
  </si>
  <si>
    <t>100.553.4355.45</t>
  </si>
  <si>
    <t>100.553.4429.45</t>
  </si>
  <si>
    <t>100.553.4457.45</t>
  </si>
  <si>
    <t>100.553.4481.45</t>
  </si>
  <si>
    <t>100.553.4572.45</t>
  </si>
  <si>
    <t>100.554</t>
  </si>
  <si>
    <t>100.554.4101.45</t>
  </si>
  <si>
    <t>100.554.4155.45</t>
  </si>
  <si>
    <t>100.554.4165.45</t>
  </si>
  <si>
    <t>100.554.4201.45</t>
  </si>
  <si>
    <t>100.554.4203.45</t>
  </si>
  <si>
    <t>100.409.4420.10</t>
  </si>
  <si>
    <t>100.409.4784.10</t>
  </si>
  <si>
    <t>100.495.4272.30</t>
  </si>
  <si>
    <t>100.511.4548.35</t>
  </si>
  <si>
    <t>100.511.4694.90</t>
  </si>
  <si>
    <t>100.511.4695.95</t>
  </si>
  <si>
    <t>100.561.4581.45</t>
  </si>
  <si>
    <t>100.564.4119.45</t>
  </si>
  <si>
    <t>100.565.4456.45</t>
  </si>
  <si>
    <t>100.661.4779.65</t>
  </si>
  <si>
    <t>MISCELLANEOUS (695)</t>
  </si>
  <si>
    <t>TOTAL DISBURSEMENTS</t>
  </si>
  <si>
    <t xml:space="preserve">HARRISON COUNTY </t>
  </si>
  <si>
    <t>BUDGET SUMMARY</t>
  </si>
  <si>
    <t>ESTIMATED BALANCE BEGINNING OF YEAR</t>
  </si>
  <si>
    <t>TOTAL ESTIMATED RECEIPTS</t>
  </si>
  <si>
    <t>TOTAL ESTIMATED DISBURSEMENTS</t>
  </si>
  <si>
    <t>TOTAL ESTIMATED TRANSFERS IN/(OUT)</t>
  </si>
  <si>
    <t>ESTIMATED BALANCE END OF YEAR</t>
  </si>
  <si>
    <t xml:space="preserve">    </t>
  </si>
  <si>
    <t>100.401</t>
  </si>
  <si>
    <t>100.401.4101.10</t>
  </si>
  <si>
    <t>100.401.4103.10</t>
  </si>
  <si>
    <t>JUSTICE OF THE PEACE PCT. #3</t>
  </si>
  <si>
    <t>CONSTABLE PCT. #1</t>
  </si>
  <si>
    <t>CONSTABLE PCT. #2</t>
  </si>
  <si>
    <t>CONSTABLE PCT. #3</t>
  </si>
  <si>
    <t>CONSTABLE PCT. #4</t>
  </si>
  <si>
    <t>SHERIFF</t>
  </si>
  <si>
    <t>100.551.4155.45</t>
  </si>
  <si>
    <t>100.551.4101.45</t>
  </si>
  <si>
    <t>240.340.3451.00</t>
  </si>
  <si>
    <t>240.360.3601.00</t>
  </si>
  <si>
    <t>240.360.3646.00</t>
  </si>
  <si>
    <t>240.360.3651.00</t>
  </si>
  <si>
    <t>240.360.3899.00</t>
  </si>
  <si>
    <t>260.360.3602.00</t>
  </si>
  <si>
    <t>260.360.3601.00</t>
  </si>
  <si>
    <t>300.340.3460.00</t>
  </si>
  <si>
    <t>300.360.3601.00</t>
  </si>
  <si>
    <t>330.349.3461.00</t>
  </si>
  <si>
    <t>330.360.3601.00</t>
  </si>
  <si>
    <t>410.340.3413.00</t>
  </si>
  <si>
    <t>410.340.3416.00</t>
  </si>
  <si>
    <t>410.360.3601.00</t>
  </si>
  <si>
    <t>410.360.3899.00</t>
  </si>
  <si>
    <t>470.572.4457.45</t>
  </si>
  <si>
    <t>100.565.4421.45</t>
  </si>
  <si>
    <t>550.520.4117.45</t>
  </si>
  <si>
    <t>BUDGETED
TOTAL</t>
  </si>
  <si>
    <t>490.752.4551.55</t>
  </si>
  <si>
    <t>490.752.4552.55</t>
  </si>
  <si>
    <t>490.752.4553.55</t>
  </si>
  <si>
    <t>490.925</t>
  </si>
  <si>
    <t>KARNACK WATER SUPPLY 2</t>
  </si>
  <si>
    <t>490.925.4551.55</t>
  </si>
  <si>
    <t>490.925.4552.55</t>
  </si>
  <si>
    <t>490.925.4553.55</t>
  </si>
  <si>
    <t>100.310.3101.00</t>
  </si>
  <si>
    <t>100.310.3105.00</t>
  </si>
  <si>
    <t>100.320.3211.00</t>
  </si>
  <si>
    <t>100.320.3215.00</t>
  </si>
  <si>
    <t>100.320.3216.00</t>
  </si>
  <si>
    <t>100.320.3210.00</t>
  </si>
  <si>
    <t>100.340.3410.00</t>
  </si>
  <si>
    <t>100.340.3411.00</t>
  </si>
  <si>
    <t>100.340.3412.00</t>
  </si>
  <si>
    <t>100.340.3413.00</t>
  </si>
  <si>
    <t>100.340.3414.00</t>
  </si>
  <si>
    <t>100.340.3415.00</t>
  </si>
  <si>
    <t>100.340.3416.00</t>
  </si>
  <si>
    <t>100.340.3417.00</t>
  </si>
  <si>
    <t>100.340.3419.00</t>
  </si>
  <si>
    <t>100.340.3421.00</t>
  </si>
  <si>
    <t>100.340.3422.00</t>
  </si>
  <si>
    <t>100.340.3423.00</t>
  </si>
  <si>
    <t>100.340.3424.00</t>
  </si>
  <si>
    <t>100.340.3431.00</t>
  </si>
  <si>
    <t>100.340.3438.00</t>
  </si>
  <si>
    <t>100.340.3433.00</t>
  </si>
  <si>
    <t>100.340.3435.00</t>
  </si>
  <si>
    <t>100.340.3491.00</t>
  </si>
  <si>
    <t>100.340.3492.00</t>
  </si>
  <si>
    <t>100.340.3493.00</t>
  </si>
  <si>
    <t>100.409.4493.10</t>
  </si>
  <si>
    <t>100.409.4494.10</t>
  </si>
  <si>
    <t>100.409.4572.10</t>
  </si>
  <si>
    <t>100.409.4578.10</t>
  </si>
  <si>
    <t>100.409.4579.10</t>
  </si>
  <si>
    <t>100.409.4580.10</t>
  </si>
  <si>
    <t>100.409.4781.10</t>
  </si>
  <si>
    <t>100.426</t>
  </si>
  <si>
    <t>100.426.4101.15</t>
  </si>
  <si>
    <t>100.426.4114.15</t>
  </si>
  <si>
    <t>100.426.4117.15</t>
  </si>
  <si>
    <t xml:space="preserve">     DELINQUENT TAXES</t>
  </si>
  <si>
    <t>ESTIMATED DISBURSEMENTS</t>
  </si>
  <si>
    <t>100.496.4315.10</t>
  </si>
  <si>
    <t>410.695.4436.15</t>
  </si>
  <si>
    <t>490.567.4573.45</t>
  </si>
  <si>
    <t xml:space="preserve"> ADMINISTRATION-R&amp;B (610)</t>
  </si>
  <si>
    <r>
      <t xml:space="preserve">     </t>
    </r>
    <r>
      <rPr>
        <sz val="10"/>
        <rFont val="Arial"/>
        <family val="2"/>
      </rPr>
      <t>CURRENT TAXES</t>
    </r>
  </si>
  <si>
    <t xml:space="preserve"> </t>
  </si>
  <si>
    <t xml:space="preserve">        </t>
  </si>
  <si>
    <t>To the Citizens of Harrison County:</t>
  </si>
  <si>
    <t>100.581.4583.45</t>
  </si>
  <si>
    <t>100.349.3433.00</t>
  </si>
  <si>
    <t>100.341.3435.00</t>
  </si>
  <si>
    <t>100.342.3435.00</t>
  </si>
  <si>
    <t>100.343.3435.00</t>
  </si>
  <si>
    <t>100.349.3435.00</t>
  </si>
  <si>
    <t>100.360.3601.00</t>
  </si>
  <si>
    <t>100.360.3645.00</t>
  </si>
  <si>
    <t>100.360.3651.00</t>
  </si>
  <si>
    <t>100.360.3720.00</t>
  </si>
  <si>
    <t>100.360.3721.00</t>
  </si>
  <si>
    <t>100.360.3899.00</t>
  </si>
  <si>
    <t>110.310.3101.00</t>
  </si>
  <si>
    <t>110.310.3105.00</t>
  </si>
  <si>
    <t>110.330.3704.00</t>
  </si>
  <si>
    <t>110.340.3489.00</t>
  </si>
  <si>
    <t>110.360.3601.00</t>
  </si>
  <si>
    <t>110.360.3899.00</t>
  </si>
  <si>
    <t>120.320.3216.00</t>
  </si>
  <si>
    <t>120.360.3601.00</t>
  </si>
  <si>
    <t>140.310.3101.00</t>
  </si>
  <si>
    <t>140.310.3105.00</t>
  </si>
  <si>
    <t>140.320.3214.00</t>
  </si>
  <si>
    <t>140.320.3217.00</t>
  </si>
  <si>
    <t>140.320.3218.00</t>
  </si>
  <si>
    <t>140.320.3220.00</t>
  </si>
  <si>
    <t>140.330.3331.00</t>
  </si>
  <si>
    <t>140.330.3393.00</t>
  </si>
  <si>
    <t>140.330.3391.00</t>
  </si>
  <si>
    <t>140.350.3431.00</t>
  </si>
  <si>
    <t>140.350.3438.00</t>
  </si>
  <si>
    <t>140.350.3433.00</t>
  </si>
  <si>
    <t>140.350.3435.00</t>
  </si>
  <si>
    <t>140.350.3512.00</t>
  </si>
  <si>
    <t>140.350.3511.00</t>
  </si>
  <si>
    <t>140.350.3513.00</t>
  </si>
  <si>
    <t>140.360.3601.00</t>
  </si>
  <si>
    <t>140.360.3727.00</t>
  </si>
  <si>
    <t>140.360.3899.00</t>
  </si>
  <si>
    <t>140.360.3645.00</t>
  </si>
  <si>
    <t>145.360.3647.00</t>
  </si>
  <si>
    <t>180.360.3601.00</t>
  </si>
  <si>
    <t>490.750.4551.55</t>
  </si>
  <si>
    <t>490.750.4552.55</t>
  </si>
  <si>
    <t>490.750.4553.55</t>
  </si>
  <si>
    <t>ADMINISTRATION</t>
  </si>
  <si>
    <t>ENGINEERING</t>
  </si>
  <si>
    <t>CONSTRUCTION</t>
  </si>
  <si>
    <t>490.750</t>
  </si>
  <si>
    <t>490.751</t>
  </si>
  <si>
    <t>490.751.4551.55</t>
  </si>
  <si>
    <t>490.751.4552.55</t>
  </si>
  <si>
    <t>490.751.4553.55</t>
  </si>
  <si>
    <t>490.752</t>
  </si>
  <si>
    <t>100.564.4441.45</t>
  </si>
  <si>
    <t>100.565.4441.45</t>
  </si>
  <si>
    <t>490.708</t>
  </si>
  <si>
    <t xml:space="preserve">     EDWARD BYRNE MEMORIAL</t>
  </si>
  <si>
    <t>490.708.4572.45</t>
  </si>
  <si>
    <t>490.722.4105.20</t>
  </si>
  <si>
    <t>490.722.4311.20</t>
  </si>
  <si>
    <t>490.722</t>
  </si>
  <si>
    <t>490.707</t>
  </si>
  <si>
    <t>490.707.4154.45</t>
  </si>
  <si>
    <t>490.707.4427.45</t>
  </si>
  <si>
    <t>490.568</t>
  </si>
  <si>
    <t>490.568.4153.45</t>
  </si>
  <si>
    <t>490.568.4155.45</t>
  </si>
  <si>
    <t>490.568.4201.45</t>
  </si>
  <si>
    <t>490.568.4203.45</t>
  </si>
  <si>
    <t>490.568.4205.45</t>
  </si>
  <si>
    <t>490.700</t>
  </si>
  <si>
    <t>490.700.4154.45</t>
  </si>
  <si>
    <t>490.700.4201.45</t>
  </si>
  <si>
    <t>490.700.4203.45</t>
  </si>
  <si>
    <t>490.700.4429.45</t>
  </si>
  <si>
    <t>490.700.4311.45</t>
  </si>
  <si>
    <t>490.700.4572.45</t>
  </si>
  <si>
    <t>490.701</t>
  </si>
  <si>
    <t>490.701.4154.55</t>
  </si>
  <si>
    <t>490.701.4201.55</t>
  </si>
  <si>
    <t>490.701.4203.55</t>
  </si>
  <si>
    <t>490.701.4429.55</t>
  </si>
  <si>
    <t>COMMUNITY CORRECTIONS ASSIST (690)</t>
  </si>
  <si>
    <t>100.426.4131.15</t>
  </si>
  <si>
    <t>100.426.4155.15</t>
  </si>
  <si>
    <t>110.695.4478.15</t>
  </si>
  <si>
    <t>140.320.3219.00</t>
  </si>
  <si>
    <t>145.360.3601.00</t>
  </si>
  <si>
    <t>240.330.3641.00</t>
  </si>
  <si>
    <t>260.340.3414.00</t>
  </si>
  <si>
    <t>300.695.4429.10</t>
  </si>
  <si>
    <t>450.570.4575.45</t>
  </si>
  <si>
    <t>450.570.4402.45</t>
  </si>
  <si>
    <t>450.570.4570.45</t>
  </si>
  <si>
    <t>460.576.4155.45</t>
  </si>
  <si>
    <t>490.330.3743.00</t>
  </si>
  <si>
    <t>550.520.4793.45</t>
  </si>
  <si>
    <t>INTEREST &amp; SINKING (FUND 610)</t>
  </si>
  <si>
    <t>610.695.4631.90</t>
  </si>
  <si>
    <t>610.695.4632.95</t>
  </si>
  <si>
    <t>610.695.4665.90</t>
  </si>
  <si>
    <t>610.695.4666.95</t>
  </si>
  <si>
    <t>610.695.4681.90</t>
  </si>
  <si>
    <t>610.695.4682.95</t>
  </si>
  <si>
    <t>610.695.4691.90</t>
  </si>
  <si>
    <t>710.695.4550.10</t>
  </si>
  <si>
    <t>710.695.4557.10</t>
  </si>
  <si>
    <t>710.695.4559.10</t>
  </si>
  <si>
    <t>710.695.4560.10</t>
  </si>
  <si>
    <t>PERMANENT IMPROVEMENT (FUND 710)</t>
  </si>
  <si>
    <t>JAIL CONSTRUCTION (FUND 720)</t>
  </si>
  <si>
    <t>720.532.4554.80</t>
  </si>
  <si>
    <t>720.532.4556.80</t>
  </si>
  <si>
    <t>100.543.4281.45</t>
  </si>
  <si>
    <t xml:space="preserve">     DONATIONS</t>
  </si>
  <si>
    <t xml:space="preserve">  </t>
  </si>
  <si>
    <t>460.695</t>
  </si>
  <si>
    <t>460.695.4147.45</t>
  </si>
  <si>
    <t>470.572.4152.45</t>
  </si>
  <si>
    <t>470.572.4117.45</t>
  </si>
  <si>
    <t>470.572.4155.45</t>
  </si>
  <si>
    <t>470.572.4203.45</t>
  </si>
  <si>
    <t>470.572.4205.45</t>
  </si>
  <si>
    <t>470.572.4311.45</t>
  </si>
  <si>
    <t>470.572.4421.45</t>
  </si>
  <si>
    <t>470.572.4321.45</t>
  </si>
  <si>
    <t>470.572.4429.45</t>
  </si>
  <si>
    <t>470.572.4201.45</t>
  </si>
  <si>
    <t>470.572.4572.45</t>
  </si>
  <si>
    <t>BUILDING MAINTENANCE</t>
  </si>
  <si>
    <t>FIRE MARSHAL</t>
  </si>
  <si>
    <t>CONSTABLE, PCT. 1</t>
  </si>
  <si>
    <t>CONSTABLE, PCT. 2</t>
  </si>
  <si>
    <t>CONSTABLE, PCT. 3</t>
  </si>
  <si>
    <t>CONSTABLE, PCT. 4</t>
  </si>
  <si>
    <t xml:space="preserve">SHERIFF  </t>
  </si>
  <si>
    <t>FINE COLLECTION</t>
  </si>
  <si>
    <t>DEPARTMENT OF PUBLIC SAFETY</t>
  </si>
  <si>
    <t>PUBLIC SAFETY</t>
  </si>
  <si>
    <t>WELFARE</t>
  </si>
  <si>
    <t>CULTURE &amp; RECREATION</t>
  </si>
  <si>
    <t>CONSERVATION</t>
  </si>
  <si>
    <t>EXTENSION AGENTS</t>
  </si>
  <si>
    <t>MISCELLANEOUS</t>
  </si>
  <si>
    <t>100.340.3420.00</t>
  </si>
  <si>
    <t>100.409.4212.10</t>
  </si>
  <si>
    <t>450.340.3475.00</t>
  </si>
  <si>
    <t>450.340.3476.00</t>
  </si>
  <si>
    <t>460.330.3377.00</t>
  </si>
  <si>
    <t>460.577</t>
  </si>
  <si>
    <t>460.577.4412.45</t>
  </si>
  <si>
    <t>JUVENILE ETCOG - EVALUATION SERVICES</t>
  </si>
  <si>
    <t>PSYCHOLOGICAL AND/OR PSYCHIATRIC</t>
  </si>
  <si>
    <t>490.935</t>
  </si>
  <si>
    <t>740.695.4575.30</t>
  </si>
  <si>
    <t>100.454.4418.20</t>
  </si>
  <si>
    <t>740.690.4751.70</t>
  </si>
  <si>
    <t>740.690.4752.70</t>
  </si>
  <si>
    <t>740.690.4757.70</t>
  </si>
  <si>
    <t>740.690.4763.70</t>
  </si>
  <si>
    <t>740.690.4764.70</t>
  </si>
  <si>
    <t>740.690.4767.70</t>
  </si>
  <si>
    <t>740.690.4768.70</t>
  </si>
  <si>
    <t>740.690.4769.70</t>
  </si>
  <si>
    <t>740.690.4774.70</t>
  </si>
  <si>
    <t>740.690.4786.70</t>
  </si>
  <si>
    <t>740.690.4788.70</t>
  </si>
  <si>
    <t>740.690.4789.70</t>
  </si>
  <si>
    <t>740.690.4792.70</t>
  </si>
  <si>
    <t>490.330.3753.00</t>
  </si>
  <si>
    <t>490.703</t>
  </si>
  <si>
    <t>490.703.4154.45</t>
  </si>
  <si>
    <t>PERMANENT SCHOOL (FUND 160)</t>
  </si>
  <si>
    <t>160.360.3601.00</t>
  </si>
  <si>
    <t>160.360.3651.00</t>
  </si>
  <si>
    <t>330.349.3465.00</t>
  </si>
  <si>
    <t>100.631.4272.55</t>
  </si>
  <si>
    <t>140.610.4125.10</t>
  </si>
  <si>
    <t>490.910</t>
  </si>
  <si>
    <t>490.910.4551.55</t>
  </si>
  <si>
    <t>490.910.4552.55</t>
  </si>
  <si>
    <t>490.910.4553.55</t>
  </si>
  <si>
    <t>LEIGH WATER SUPPLY</t>
  </si>
  <si>
    <t>490.330.3971.00</t>
  </si>
  <si>
    <t>610.360.3752.00</t>
  </si>
  <si>
    <t>490.704</t>
  </si>
  <si>
    <t>490.704.4572.45</t>
  </si>
  <si>
    <t>490.330.3754.00</t>
  </si>
  <si>
    <t>490.703.4201.45</t>
  </si>
  <si>
    <t>490.703.4203.45</t>
  </si>
  <si>
    <t>490.703.4205.45</t>
  </si>
  <si>
    <t>BAIL BOND BOARD FUND</t>
  </si>
  <si>
    <t>TAX DISPUTE FUND</t>
  </si>
  <si>
    <t>BAIL BOND SURETY FUND</t>
  </si>
  <si>
    <t>EMERGENCY OPERATION FUND</t>
  </si>
  <si>
    <t>AIRPORT MAINTENANCE FUND</t>
  </si>
  <si>
    <t>JUSTICE TECHNOLOGY FUND</t>
  </si>
  <si>
    <t>STAR BOOTCAMP FUND</t>
  </si>
  <si>
    <t>TITLE IV-E FUND</t>
  </si>
  <si>
    <t>COUNTY CLERK RECORDS MGM FUND (500)</t>
  </si>
  <si>
    <t>COUNTY RECORDS PRESERVATION FUND (510)</t>
  </si>
  <si>
    <t>DISTRICT CLERK RECORDS MGM FUND (513)</t>
  </si>
  <si>
    <t>SECURITY-SUB-COURTHOUSE FUND</t>
  </si>
  <si>
    <t>TOBACCO SETTLEMENT FUND</t>
  </si>
  <si>
    <t>COURTHOUSE MAINTENANCE FUND (750)</t>
  </si>
  <si>
    <t>OFFICIAL'S AGENCY FUND</t>
  </si>
  <si>
    <t>DISTRICT ATTORNEY SPECIAL FUND</t>
  </si>
  <si>
    <t>EMPLOYEE BENEFIT TRUST FUND</t>
  </si>
  <si>
    <t>PERMANENT SCHOOL FUND</t>
  </si>
  <si>
    <t>EMERGENCY OPERATIONS FUND</t>
  </si>
  <si>
    <t>STATE TRAINING FUND</t>
  </si>
  <si>
    <t>SUB-COURHOUSE SECURITYFUND</t>
  </si>
  <si>
    <t>COURT INITIATED GUARDIANSHIP FUND</t>
  </si>
  <si>
    <t>SIXTH COURT OF APPEALS FUND</t>
  </si>
  <si>
    <t>COURTHOUSE MAINTENANCE FUND</t>
  </si>
  <si>
    <t>100.401.4122.10</t>
  </si>
  <si>
    <t>Adopting Eff Rate</t>
  </si>
  <si>
    <t>460.576.4401.45</t>
  </si>
  <si>
    <t>100.409.4424.10</t>
  </si>
  <si>
    <t>100.409.4585.10</t>
  </si>
  <si>
    <t>Tax Rate</t>
  </si>
  <si>
    <t>CLARICE BRENDA WATKINS</t>
  </si>
  <si>
    <t>750.365.3723.00</t>
  </si>
  <si>
    <t>ZEPHANIAH TIMMINS</t>
  </si>
  <si>
    <t>JAY EBARB</t>
  </si>
  <si>
    <t>JOE BLACK</t>
  </si>
  <si>
    <t>SHERRY GRIFFIS</t>
  </si>
  <si>
    <t>VERONICA KING</t>
  </si>
  <si>
    <t>100.340.3487.00</t>
  </si>
  <si>
    <t>100.501.4117.30</t>
  </si>
  <si>
    <t>240.365.3723.00</t>
  </si>
  <si>
    <t>240.695.4399.40</t>
  </si>
  <si>
    <t>610.695.4669.90</t>
  </si>
  <si>
    <t>610.695.4670.95</t>
  </si>
  <si>
    <t>100.405.4572.10</t>
  </si>
  <si>
    <t>100.552.4455.45</t>
  </si>
  <si>
    <t>100.553.4455.45</t>
  </si>
  <si>
    <t>100.583.4756.45</t>
  </si>
  <si>
    <t>610.695.4673.90</t>
  </si>
  <si>
    <t>610.695.4674.95</t>
  </si>
  <si>
    <t>300.695.4568.10</t>
  </si>
  <si>
    <t>710.695.4569.10</t>
  </si>
  <si>
    <t>DISTRICT COURT RECORDS TECHNOLOGY (FUND 310)</t>
  </si>
  <si>
    <t>COUNTY &amp; DISTRICT COURT TECHNOLOGY (FUND 320)</t>
  </si>
  <si>
    <t>320.349.3447.00</t>
  </si>
  <si>
    <t>100.340.3499.00</t>
  </si>
  <si>
    <t>100.330.3204.00</t>
  </si>
  <si>
    <t>460.576.4570.45</t>
  </si>
  <si>
    <t>DISTRICT COURT RECORDS TECHNOLOGY FUND</t>
  </si>
  <si>
    <t>COUNTY &amp; DISTRICT COURT TECHNOLOGY FUND</t>
  </si>
  <si>
    <t>460.576.4791.45</t>
  </si>
  <si>
    <t>460.576.4313.45</t>
  </si>
  <si>
    <t>460.576.4332.45</t>
  </si>
  <si>
    <t>140.620.4578.40</t>
  </si>
  <si>
    <t>240.695.4458.40</t>
  </si>
  <si>
    <t>460.576.4783.45</t>
  </si>
  <si>
    <t>460.576.4785.45</t>
  </si>
  <si>
    <t>110.360.3631.00</t>
  </si>
  <si>
    <t>160.695.4469.10</t>
  </si>
  <si>
    <t>160.695.4470.10</t>
  </si>
  <si>
    <t>270.340.3457.00</t>
  </si>
  <si>
    <t>HARRISON COUNTY YOUTH ENRICHMENT (FUND 270)</t>
  </si>
  <si>
    <t>490.330.3755.00</t>
  </si>
  <si>
    <t>490.330.3756.00</t>
  </si>
  <si>
    <t xml:space="preserve">     2014 SHSP GRANT</t>
  </si>
  <si>
    <t>490.330.3757.00</t>
  </si>
  <si>
    <t xml:space="preserve">     2014 SHSP-LETPA GRANT</t>
  </si>
  <si>
    <t>490.719</t>
  </si>
  <si>
    <t>490.719.4572.45</t>
  </si>
  <si>
    <t>490.723</t>
  </si>
  <si>
    <t>490.723.4572.45</t>
  </si>
  <si>
    <t xml:space="preserve">      2014 SHSP GRANT</t>
  </si>
  <si>
    <t>490.724</t>
  </si>
  <si>
    <t>490.724.4572.45</t>
  </si>
  <si>
    <t xml:space="preserve">      2014 SHSP-LETPA GRANT</t>
  </si>
  <si>
    <t>570.360.3601.00</t>
  </si>
  <si>
    <t>HARRISON COUNTY YOUTH ENRICHMENT FUND</t>
  </si>
  <si>
    <t>100.340.3486.00</t>
  </si>
  <si>
    <t>100.360.3752.00</t>
  </si>
  <si>
    <t>100.497.4272.30</t>
  </si>
  <si>
    <t>450.570.4446.45</t>
  </si>
  <si>
    <t>460.575</t>
  </si>
  <si>
    <t>JUVENILE STATE AID - GRANT "R"</t>
  </si>
  <si>
    <t>460.330.3379.00</t>
  </si>
  <si>
    <t>CAPITAL MURDER FUND</t>
  </si>
  <si>
    <t>CAPITAL MURDER FUND (280)</t>
  </si>
  <si>
    <t>280.310.3101.00</t>
  </si>
  <si>
    <t>280.310.3105.00</t>
  </si>
  <si>
    <t>280.471.4492.20</t>
  </si>
  <si>
    <t xml:space="preserve">     CAPITAL MURDER </t>
  </si>
  <si>
    <t>OPEB TRUST FUND</t>
  </si>
  <si>
    <t>270.695.4757.70</t>
  </si>
  <si>
    <t>270.695.4763.70</t>
  </si>
  <si>
    <t>270.695.4764.70</t>
  </si>
  <si>
    <t>270.695.4767.70</t>
  </si>
  <si>
    <t>270.695.4786.70</t>
  </si>
  <si>
    <t>270.695.4788.70</t>
  </si>
  <si>
    <t>270.695.4789.70</t>
  </si>
  <si>
    <t>740.690.4787.70</t>
  </si>
  <si>
    <t>300.695.4432.10</t>
  </si>
  <si>
    <t>140.330.3392.00</t>
  </si>
  <si>
    <t>140.610.4315.10</t>
  </si>
  <si>
    <t>100.435.4165.15</t>
  </si>
  <si>
    <t>460.575.4775.45</t>
  </si>
  <si>
    <t>JOHN HICKEY</t>
  </si>
  <si>
    <t>JIM WEATHERALL</t>
  </si>
  <si>
    <t>DARRYL GRIFFIN</t>
  </si>
  <si>
    <t>2016 GENERAL OBLIGATION REFUNDING BONDS</t>
  </si>
  <si>
    <t>Amegy Bank</t>
  </si>
  <si>
    <t>180.330.3705.00</t>
  </si>
  <si>
    <t>490.330.3750.00</t>
  </si>
  <si>
    <t>490.726</t>
  </si>
  <si>
    <t>490.726.4572.45</t>
  </si>
  <si>
    <t>610.360.3899.00</t>
  </si>
  <si>
    <t>Becky Haynes, County Auditor</t>
  </si>
  <si>
    <t>Delinquent Tax Allocation</t>
  </si>
  <si>
    <t>450.570.4448.45</t>
  </si>
  <si>
    <t>710.695.4586.10</t>
  </si>
  <si>
    <t>740.695.4479.10</t>
  </si>
  <si>
    <t>270.695.4900.70</t>
  </si>
  <si>
    <t>BB&amp;T</t>
  </si>
  <si>
    <t>2018 Secured Equipment Note #016</t>
  </si>
  <si>
    <t>2018 Secured Equipment Note #017</t>
  </si>
  <si>
    <t>by the County.</t>
  </si>
  <si>
    <t>2016 General Obligation Refunding Bonds - Jail Annex</t>
  </si>
  <si>
    <t>iv</t>
  </si>
  <si>
    <t>2018 SECURED EQUIPMENT #017</t>
  </si>
  <si>
    <t>First National Bank Leasing</t>
  </si>
  <si>
    <t>Lease Payment</t>
  </si>
  <si>
    <t>Interest</t>
  </si>
  <si>
    <t>Total</t>
  </si>
  <si>
    <t>PRINCIPAL</t>
  </si>
  <si>
    <t>INTEREST</t>
  </si>
  <si>
    <t>Original Lease Amount</t>
  </si>
  <si>
    <t>PROTESTED PROPERTY TAX FUND(130)</t>
  </si>
  <si>
    <t>130.310.3101.00</t>
  </si>
  <si>
    <t>130.310.3105.00</t>
  </si>
  <si>
    <t>130.360.3601.00</t>
  </si>
  <si>
    <t>PROTESTED PROPERTY TAX (FUND 130)</t>
  </si>
  <si>
    <t>450.340.3811.00</t>
  </si>
  <si>
    <t>890.340.3550.00</t>
  </si>
  <si>
    <t>PROTESTED PROPERTY TAX FUND</t>
  </si>
  <si>
    <t>21-23</t>
  </si>
  <si>
    <t>37-38</t>
  </si>
  <si>
    <t>39-40</t>
  </si>
  <si>
    <t>140.620.4681.40</t>
  </si>
  <si>
    <t xml:space="preserve">     PROTESTED PROPERTY TAXES</t>
  </si>
  <si>
    <t>Bancorp South</t>
  </si>
  <si>
    <t>Plus Rolling Stock</t>
  </si>
  <si>
    <t>Plus Pollution Control</t>
  </si>
  <si>
    <t>Prior Year Budget</t>
  </si>
  <si>
    <t>100.436.4155.20</t>
  </si>
  <si>
    <t>100.436.4201.20</t>
  </si>
  <si>
    <t>100.436.4203.20</t>
  </si>
  <si>
    <t>100.436.4205.20</t>
  </si>
  <si>
    <t>SCHEDULE OF OPERATING LEASES</t>
  </si>
  <si>
    <t>Budgeted Revenue</t>
  </si>
  <si>
    <t>610.695.4694.90</t>
  </si>
  <si>
    <t>610.695.4695.95</t>
  </si>
  <si>
    <t>270.695.4710.70</t>
  </si>
  <si>
    <t>270.695.4713.70</t>
  </si>
  <si>
    <t>270.695.4714.70</t>
  </si>
  <si>
    <t>270.695.4715.70</t>
  </si>
  <si>
    <t>270.695.4716.70</t>
  </si>
  <si>
    <t>270.695.4717.70</t>
  </si>
  <si>
    <t>740.695.4660.90</t>
  </si>
  <si>
    <t>740.695.4661.95</t>
  </si>
  <si>
    <t>140.620.4682.40</t>
  </si>
  <si>
    <t>100.401.4160.10</t>
  </si>
  <si>
    <t>2018 ACTUAL</t>
  </si>
  <si>
    <t>2020 BUDGET</t>
  </si>
  <si>
    <t>Chad Sims, County Judge</t>
  </si>
  <si>
    <t>CHAD SIMS</t>
  </si>
  <si>
    <t>REID MCCAIN</t>
  </si>
  <si>
    <t>SHERRY RUSHING</t>
  </si>
  <si>
    <t>100.405.4578.10</t>
  </si>
  <si>
    <t>100.436.4530.20</t>
  </si>
  <si>
    <t>100.551.4575.45</t>
  </si>
  <si>
    <t>100.553.4575.45</t>
  </si>
  <si>
    <t>270.360.3601.00</t>
  </si>
  <si>
    <t>280.360.3601.0</t>
  </si>
  <si>
    <t>460.575.4776.45</t>
  </si>
  <si>
    <t>460.330.3758.00</t>
  </si>
  <si>
    <t>490.727</t>
  </si>
  <si>
    <t>890.840</t>
  </si>
  <si>
    <t>DA PRE-TRIAL DIVERSION</t>
  </si>
  <si>
    <t>890.840.4497.20</t>
  </si>
  <si>
    <t>2018 SECURED EQUIPMENT #016 (BB&amp;T)</t>
  </si>
  <si>
    <t>100.409.4505.10</t>
  </si>
  <si>
    <t>100.651.4709.60</t>
  </si>
  <si>
    <t>100.407.4272.25</t>
  </si>
  <si>
    <t>AIRPORT FUND</t>
  </si>
  <si>
    <t>330.695.4429.15</t>
  </si>
  <si>
    <t>890.820.4105.20</t>
  </si>
  <si>
    <t xml:space="preserve">     AIRPORT</t>
  </si>
  <si>
    <t xml:space="preserve">     SOFTWARE UPDATE - AC</t>
  </si>
  <si>
    <t>The budget includes the General, Jury, Road &amp; Bridge, Airport, Juvenile, Interest &amp; Sinking and</t>
  </si>
  <si>
    <t>Permanent Improvement Funds which receive ad valorem tax revenue, as well as, other funds administered</t>
  </si>
  <si>
    <t>TAX ON ADJUSTED VALUE @ $.3548/$100</t>
  </si>
  <si>
    <t>100.551.4282.45</t>
  </si>
  <si>
    <t>100.552.4282.45</t>
  </si>
  <si>
    <t>100.553.4282.45</t>
  </si>
  <si>
    <t>100.554.4282.45</t>
  </si>
  <si>
    <t>Proposed</t>
  </si>
  <si>
    <t>100.543.4117.45</t>
  </si>
  <si>
    <t>100.496.4117.10</t>
  </si>
  <si>
    <t>FOR THE YEAR ENDING SEPTEMBER 30, 2021</t>
  </si>
  <si>
    <t>2020-2021 BUDGET</t>
  </si>
  <si>
    <t>JOHN OSWALT</t>
  </si>
  <si>
    <t>2020-2021 DEBT SERVICE REQUIREMENTS</t>
  </si>
  <si>
    <t>2020-2021 OPERATING LEASE REQUIREMENTS</t>
  </si>
  <si>
    <t>2020-2021 ESTIMATED AD VALOREM TAX REVENUE</t>
  </si>
  <si>
    <t>Outstanding as of 9/30/2020</t>
  </si>
  <si>
    <t>2021 BUDGET</t>
  </si>
  <si>
    <t>2019 ACTUAL</t>
  </si>
  <si>
    <t>INTERFUNDS TRANSFER</t>
  </si>
  <si>
    <t>100.400.7200.00</t>
  </si>
  <si>
    <t>CURRENT TAXES</t>
  </si>
  <si>
    <t>DELINQUENT TAXES</t>
  </si>
  <si>
    <t>ON SITE SEWAGE PERMITS</t>
  </si>
  <si>
    <t>MIXED DRINK TAX</t>
  </si>
  <si>
    <t xml:space="preserve">LIQUOR &amp; BEER </t>
  </si>
  <si>
    <t>LICENSES &amp; WEIGHTS FEE</t>
  </si>
  <si>
    <t>DISTRICT ATTORNEY SUPPLEMENT</t>
  </si>
  <si>
    <t>LONGEVITY-STATE SUPP DA</t>
  </si>
  <si>
    <t>COUNTY JUDGE SUPPLEMENT</t>
  </si>
  <si>
    <r>
      <t>SAFE</t>
    </r>
    <r>
      <rPr>
        <sz val="10"/>
        <rFont val="Arial"/>
        <family val="2"/>
      </rPr>
      <t xml:space="preserve"> TESTING REIMBURSEMENTS</t>
    </r>
  </si>
  <si>
    <t>CHAPTER 19 FUNDS</t>
  </si>
  <si>
    <t>FEMA</t>
  </si>
  <si>
    <t>DETENTION FEES</t>
  </si>
  <si>
    <t>INDIGENT DEFENSE GRANT</t>
  </si>
  <si>
    <t>U.S. FISH &amp; WILDLIFE</t>
  </si>
  <si>
    <t>FEDERAL PRISONER TRANSPORT FEE</t>
  </si>
  <si>
    <t>COUNTY CLERK GUARDIANSHIPS</t>
  </si>
  <si>
    <t>FAMILY PROTECTION FEE</t>
  </si>
  <si>
    <t>CONSTABLE #1</t>
  </si>
  <si>
    <t>CONSTABLE #2</t>
  </si>
  <si>
    <t>CONSTABLE #3</t>
  </si>
  <si>
    <t>CONSTABLE #4</t>
  </si>
  <si>
    <t>ELECTIONS</t>
  </si>
  <si>
    <t>JUSTICE OF THE PEACE #1</t>
  </si>
  <si>
    <t>JUSTICE OF THE PEACE #3</t>
  </si>
  <si>
    <t>JUSTICE OF THE PEACE #4-1</t>
  </si>
  <si>
    <t>JUSTICE OF THE PEACE #2</t>
  </si>
  <si>
    <t>TRUANCY CIVIL FEE</t>
  </si>
  <si>
    <t>E-FILING FEE</t>
  </si>
  <si>
    <t>TRIAL FEES</t>
  </si>
  <si>
    <t>STENOGRAPHER FEES</t>
  </si>
  <si>
    <t>VIDEO FEES</t>
  </si>
  <si>
    <t>SJFC SUPPORT OF JUDICIARY</t>
  </si>
  <si>
    <t>PROBATE JUDGE'S EDUCATION FEES</t>
  </si>
  <si>
    <t>COURT APPOINTED ATTORNEY FEES</t>
  </si>
  <si>
    <t>ESD/CITY INTER-LOCAL CONTRACTS</t>
  </si>
  <si>
    <t>FINE COLLECTIONS</t>
  </si>
  <si>
    <t>DISMISSAL</t>
  </si>
  <si>
    <t>DDC</t>
  </si>
  <si>
    <t>TRAFFIC</t>
  </si>
  <si>
    <t>CHILD SAFETY</t>
  </si>
  <si>
    <t>SALE OF FIXED ASSETS</t>
  </si>
  <si>
    <t>PROCEEDS FROM SALE OF DELINQUENT</t>
  </si>
  <si>
    <t>OIL &amp; GAS ROYALTIES</t>
  </si>
  <si>
    <t>PRISONER TRANSPORT FEES</t>
  </si>
  <si>
    <t>FACILITY RENTALS</t>
  </si>
  <si>
    <t>INMATE WORK RELEASE</t>
  </si>
  <si>
    <t>INMATE TELEPHONE COMM.</t>
  </si>
  <si>
    <t>LOAN PROCEEDS</t>
  </si>
  <si>
    <t>CITY TELE COIN COMPANY</t>
  </si>
  <si>
    <t>INSURANCE PROCEEDS</t>
  </si>
  <si>
    <t>SUNDRY</t>
  </si>
  <si>
    <t>HISTORIC COURTHOUSE USE FEES</t>
  </si>
  <si>
    <t>LITIGATION RECOVERY</t>
  </si>
  <si>
    <t>DONATIONS</t>
  </si>
  <si>
    <t>INTER-FUND TRANSFER IN</t>
  </si>
  <si>
    <t>INTER-FUND TRANSFER OUT</t>
  </si>
  <si>
    <t>SALARY-OFFICIAL</t>
  </si>
  <si>
    <t>SALARY-ADMIN. ASST.</t>
  </si>
  <si>
    <t>SALARY- SUPPLEMENT</t>
  </si>
  <si>
    <t>SALARY-EXECUTIVE SECRETARY</t>
  </si>
  <si>
    <t>SALARY-PART-TIME</t>
  </si>
  <si>
    <t>LONGEVITY PAY</t>
  </si>
  <si>
    <t>SALARY - SUPPLEMENT</t>
  </si>
  <si>
    <t>SOCIAL SECURITY</t>
  </si>
  <si>
    <t>RETIREMENT</t>
  </si>
  <si>
    <t>GROUP HEALTH INSURANCE</t>
  </si>
  <si>
    <t>TRAVEL ALLOWANCE</t>
  </si>
  <si>
    <t>OFFICE SUPPLIES</t>
  </si>
  <si>
    <t>POSTAGE</t>
  </si>
  <si>
    <t>TELEPHONE/CELL PHONE</t>
  </si>
  <si>
    <t>TRAVEL EXPENSE</t>
  </si>
  <si>
    <t>BOND</t>
  </si>
  <si>
    <t>EQUIPMENT/MAINTENANCE</t>
  </si>
  <si>
    <t>SALARY-DEPUTIES</t>
  </si>
  <si>
    <t>TDSHS BIRTH RECORDS</t>
  </si>
  <si>
    <t>PARTS &amp; REPAIRS</t>
  </si>
  <si>
    <t>SALARY-CLERICAL</t>
  </si>
  <si>
    <t>SALARY-APPOINTED</t>
  </si>
  <si>
    <t>MILEAGE REIMBURSEMENT</t>
  </si>
  <si>
    <t>ELECTION SUPPLIES</t>
  </si>
  <si>
    <t>ELECTION CONTRACTS</t>
  </si>
  <si>
    <t>VOTER LIST</t>
  </si>
  <si>
    <t>ELECTION EXPENSE</t>
  </si>
  <si>
    <t>SOFTWARE/MAINTENANCE</t>
  </si>
  <si>
    <t>HEALTH CLAIMS CONTINGENCY</t>
  </si>
  <si>
    <t>WORKER'S COMP/LIABILITY INS.</t>
  </si>
  <si>
    <t>UNEMPLOYMENT INS.</t>
  </si>
  <si>
    <t>GROUP HEALTH-FIXED COSTS</t>
  </si>
  <si>
    <t>COMPENSATED ABSENCES</t>
  </si>
  <si>
    <t xml:space="preserve">POSTAGE </t>
  </si>
  <si>
    <t>IT - SUPPLIES</t>
  </si>
  <si>
    <t>BANK SERVICE FEES</t>
  </si>
  <si>
    <t>CONSULTANT FEES</t>
  </si>
  <si>
    <t>NEWSPAPER PUBLICATIONS</t>
  </si>
  <si>
    <t>MAINTENANCE CONTRACTS</t>
  </si>
  <si>
    <t>NET PLEA COLLECTION FEES</t>
  </si>
  <si>
    <t>INS-FIRE, LIABILITY &amp; AUTO</t>
  </si>
  <si>
    <t>AUTOMOBILE CLAIMS</t>
  </si>
  <si>
    <t>TAC DUES</t>
  </si>
  <si>
    <t>CO. JUDGE/COMM. DUES</t>
  </si>
  <si>
    <t>ETCOG DUES</t>
  </si>
  <si>
    <t>PRIOR/PROPOSED LEGISLATIVE EXP</t>
  </si>
  <si>
    <t>SOFTWARE SUPPORT</t>
  </si>
  <si>
    <t>CONTINGENCY - EQUIPMENT</t>
  </si>
  <si>
    <t>SOLID WASTE CONTRACT EXPENSE</t>
  </si>
  <si>
    <t>COMMUNICATIONS UPGRADE/BODY CAM</t>
  </si>
  <si>
    <t>AUTOPSIES/OTHER</t>
  </si>
  <si>
    <t>WEBSITE CONSULTING</t>
  </si>
  <si>
    <t>MISCELLANEOUS DONATIONS</t>
  </si>
  <si>
    <t>ECONOMIC DEVELOPMENT</t>
  </si>
  <si>
    <t>NETXEC</t>
  </si>
  <si>
    <t>RMA BOARD FEE</t>
  </si>
  <si>
    <t>I-69 ALLIANCE</t>
  </si>
  <si>
    <t>HARRISON COUNTY CASA</t>
  </si>
  <si>
    <t>COMMUNITY HEALTH CORE</t>
  </si>
  <si>
    <t>CHILDREN'S ADVOCACY-MARTIN HOUSE</t>
  </si>
  <si>
    <t>CHILDREN'S SRV BD FOSTER CHILD CARE</t>
  </si>
  <si>
    <r>
      <t>COMM. HEALTH CORE/</t>
    </r>
    <r>
      <rPr>
        <sz val="10"/>
        <rFont val="Arial"/>
        <family val="2"/>
      </rPr>
      <t>CONTRACT SERVICES</t>
    </r>
  </si>
  <si>
    <t>ETCOG AGING MATCH</t>
  </si>
  <si>
    <t xml:space="preserve">TRAVEL EXPENSE </t>
  </si>
  <si>
    <t>CYPRESS VALLEY NAVIGATION DISTRICT</t>
  </si>
  <si>
    <t>CONSERVATION DISTRICT</t>
  </si>
  <si>
    <t>FRIENDS OF THE REFUGE</t>
  </si>
  <si>
    <t>LONGVIEW PUBLIC LIBRARY</t>
  </si>
  <si>
    <t>MARSHALL PUBLIC LIBRARY</t>
  </si>
  <si>
    <t>WASKOM PUBLIC LIBRARY</t>
  </si>
  <si>
    <t>MARSHALL DEPOT</t>
  </si>
  <si>
    <t>HISTORICAL SOCIETY/MUSEUM</t>
  </si>
  <si>
    <t>HISTORICAL COMMISSION</t>
  </si>
  <si>
    <t>CERTIFICATION PAY</t>
  </si>
  <si>
    <t>SALARY-COURT ADMIN.</t>
  </si>
  <si>
    <t>SALARY-PART-TIME/TEMPORARY</t>
  </si>
  <si>
    <t>SALARY-BAILIFF</t>
  </si>
  <si>
    <t>SALARY</t>
  </si>
  <si>
    <t>CSCD PRE-TRIAL EXPENSE</t>
  </si>
  <si>
    <t xml:space="preserve">OFFICES SUPPLIES </t>
  </si>
  <si>
    <t>SALARY-ASSISTANT DA'S</t>
  </si>
  <si>
    <t>SALARY-CHIEF INVESTIGATOR</t>
  </si>
  <si>
    <t>SALARY-INVESTIGATOR</t>
  </si>
  <si>
    <t>LONGEVITY-STATE SUPPLEMENT</t>
  </si>
  <si>
    <t>SALARY-SUPPLEMENT</t>
  </si>
  <si>
    <t>GREASE &amp; GASOLINE</t>
  </si>
  <si>
    <t>CRIMINAL INVEST/VIDEO</t>
  </si>
  <si>
    <t>EXPERT WITNESS</t>
  </si>
  <si>
    <t>AUTO MAINTENANCE</t>
  </si>
  <si>
    <t>SALARY-SENIOR COURT CLERK</t>
  </si>
  <si>
    <t>TRAVEL  EXPENSE</t>
  </si>
  <si>
    <t>RADIO REPAIR/PARTS</t>
  </si>
  <si>
    <t>VISITING JUDGES EXPENSE</t>
  </si>
  <si>
    <t>LEGAL EXPENSE-COURT REP</t>
  </si>
  <si>
    <t>LEGAL EXPENSE-INDIGENT CRIM MATTERS</t>
  </si>
  <si>
    <t>LEGAL EXPENSE-NETAC</t>
  </si>
  <si>
    <t>LEGAL EXPENSE-COUNTY</t>
  </si>
  <si>
    <t>LEGAL EXPENSE-INDIGENTS-CPS, CHILD SUPPORT</t>
  </si>
  <si>
    <t>FIRST ADMIN. JUDICIAL DIST.</t>
  </si>
  <si>
    <t>CAPITAL MURDER EXPENSE</t>
  </si>
  <si>
    <t>SALARY-SUPPORT STAFF</t>
  </si>
  <si>
    <t>SALARY-PART TIME/TEMPORARY</t>
  </si>
  <si>
    <t>AUDIT EXPENSE</t>
  </si>
  <si>
    <t>SAFETY SUPPLIES</t>
  </si>
  <si>
    <t>APPRAISAL DISTRICT</t>
  </si>
  <si>
    <t>TAX NOTICE PREPARATION</t>
  </si>
  <si>
    <t>SALARY-MAINTENANCE</t>
  </si>
  <si>
    <t xml:space="preserve">SALARY-COMMUNITY. CENTER </t>
  </si>
  <si>
    <t>UNIFORM EXPENSE</t>
  </si>
  <si>
    <t>JANITORIAL SUPPLIES</t>
  </si>
  <si>
    <t>UTILITIES</t>
  </si>
  <si>
    <t>ENERGY SAVINGS CONSTRUCTION COST</t>
  </si>
  <si>
    <t>ENERGY SAVINGS CONTRACT-PRINCIPAL</t>
  </si>
  <si>
    <t>ENERGY SAVINGS CONTRACT-INTEREST</t>
  </si>
  <si>
    <t>SALARY-SOLID WASTE</t>
  </si>
  <si>
    <t>SALARY-EMERGENCY MANAGER COORDINATOR</t>
  </si>
  <si>
    <t>SALARY - PART TIME/TEMPORARY</t>
  </si>
  <si>
    <t>AUTOMOBILE PURCHASES</t>
  </si>
  <si>
    <t>FIRE PROTECTION-UNCERTAIN</t>
  </si>
  <si>
    <t>FIRE PROTECTION-BIG LAKE</t>
  </si>
  <si>
    <t>FIRE PROTECTION-EF</t>
  </si>
  <si>
    <t>FIRE PROTECTION-WOODLAWN</t>
  </si>
  <si>
    <t>CODE RED</t>
  </si>
  <si>
    <t>FIRE DISTRICT CONTRACTS</t>
  </si>
  <si>
    <t>AMBULANCE-HALLSVILLE</t>
  </si>
  <si>
    <t>FIRST RESPONDERS</t>
  </si>
  <si>
    <t>UNIFORM ALLOWANCE</t>
  </si>
  <si>
    <t>K-9 EXPENSE - DRUG DOG</t>
  </si>
  <si>
    <t>AMMUNITION</t>
  </si>
  <si>
    <t>I D SUPPLIES</t>
  </si>
  <si>
    <r>
      <rPr>
        <sz val="10"/>
        <rFont val="Arial"/>
        <family val="2"/>
      </rPr>
      <t xml:space="preserve">SAFE </t>
    </r>
    <r>
      <rPr>
        <sz val="10"/>
        <rFont val="Arial"/>
        <family val="2"/>
      </rPr>
      <t>TESTING</t>
    </r>
  </si>
  <si>
    <t>TRANSPORT PRISONERS</t>
  </si>
  <si>
    <t>TIRES &amp; TUBES</t>
  </si>
  <si>
    <t>BULLET PROOF VESTS</t>
  </si>
  <si>
    <t>BOATS/DIVING EQUIPMENT</t>
  </si>
  <si>
    <t>GPS MONITORING/INSTALL/MAINT</t>
  </si>
  <si>
    <t>RADIO/RADAR</t>
  </si>
  <si>
    <t>AGM TELECOM</t>
  </si>
  <si>
    <t>SALARY-SO OVERTIME</t>
  </si>
  <si>
    <t>SALARY-PART TIME NURSE</t>
  </si>
  <si>
    <t>SALARY-DETENTION</t>
  </si>
  <si>
    <t>SUPPLIES</t>
  </si>
  <si>
    <t>FOOD</t>
  </si>
  <si>
    <t>CLOTHING FOR INMATES</t>
  </si>
  <si>
    <t>MEDICAL CARE/DETENTION</t>
  </si>
  <si>
    <t>RADIO/RADAR REPAIR</t>
  </si>
  <si>
    <t>TIRES AND TUBES</t>
  </si>
  <si>
    <t>INMATE HOUSING OUT OF CO</t>
  </si>
  <si>
    <t>ANIMAL SHELTER PERSONNEL</t>
  </si>
  <si>
    <t>AMBULANCE/RESCUE SERVICE</t>
  </si>
  <si>
    <t>NATIONAL GUARD EXPENSE</t>
  </si>
  <si>
    <t>CIVIL DEFENSE</t>
  </si>
  <si>
    <t>HUMANE SOCIETY</t>
  </si>
  <si>
    <t>PREDATORY ANIMAL CONTROL</t>
  </si>
  <si>
    <t>MEDICAL CARE/INDIGENTS</t>
  </si>
  <si>
    <t>GREASE/GASOLINE</t>
  </si>
  <si>
    <t>TRAVEL REIMBURSEMENT</t>
  </si>
  <si>
    <t>TECQ FEES</t>
  </si>
  <si>
    <t>SALARY-MENTAL DEPUTY</t>
  </si>
  <si>
    <t>100.690.4752.70</t>
  </si>
  <si>
    <t>WOMEN'S CENTER OF TEXAS</t>
  </si>
  <si>
    <t>2020-2021 BUDGETED SALARIES</t>
  </si>
  <si>
    <t>STATE JUROR REIMBURSEMENT</t>
  </si>
  <si>
    <t xml:space="preserve">JURY FEES </t>
  </si>
  <si>
    <t>ESTRAY SALES</t>
  </si>
  <si>
    <t>SALARY-DIST. COURT REPORTER</t>
  </si>
  <si>
    <t>SALARY-CC AT LAW REPORTER</t>
  </si>
  <si>
    <t>SUBSTITUTE COURT REPORTER</t>
  </si>
  <si>
    <t>GRAND JURORS</t>
  </si>
  <si>
    <t>GRAND JURY BALIFF</t>
  </si>
  <si>
    <t>JURORS-CENTRAL</t>
  </si>
  <si>
    <t>JURORS-COUNTY COURT</t>
  </si>
  <si>
    <t>JURY COMMISSIONERS</t>
  </si>
  <si>
    <t>JURORS-JP'S</t>
  </si>
  <si>
    <t>LICENSES FEES</t>
  </si>
  <si>
    <t>SURETY - CASH</t>
  </si>
  <si>
    <t>CONTRACT SERVICES</t>
  </si>
  <si>
    <t>AUTO REGISTRATION-BRIDGE</t>
  </si>
  <si>
    <t>AUTO REGISTRATION-REGULAR</t>
  </si>
  <si>
    <t>SUBDIVISION PLAT FEES</t>
  </si>
  <si>
    <t>CULVERT INSTALLATION FEES</t>
  </si>
  <si>
    <t>FLOOD PERMIT FEES</t>
  </si>
  <si>
    <t>GROSS &amp; AXLE WEIGHT FEES</t>
  </si>
  <si>
    <t>LATERAL ROAD FUNDS</t>
  </si>
  <si>
    <t>RISK CONTROL REIMBURSEMENT</t>
  </si>
  <si>
    <t>INTERLOCAL CONTRACTS</t>
  </si>
  <si>
    <t>FINES-COUNTY COURT</t>
  </si>
  <si>
    <t>FINES-DISTRICT COURT</t>
  </si>
  <si>
    <t>FORFEITURES</t>
  </si>
  <si>
    <t>SALARY-ROAD &amp; BRIDGE</t>
  </si>
  <si>
    <t>SALARY-ENGINEERING AIDE SUPPLEMENT</t>
  </si>
  <si>
    <t>EMPLOYEE DRUG TESTING</t>
  </si>
  <si>
    <t>LUMBER &amp; HARDWARE</t>
  </si>
  <si>
    <t>SAND &amp; GRAVEL</t>
  </si>
  <si>
    <t>BASE STABILIZATION MATERIAL</t>
  </si>
  <si>
    <t>ROAD OIL &amp; PAVING MATERIALS</t>
  </si>
  <si>
    <t>CULVERTS &amp; BRIDGES</t>
  </si>
  <si>
    <t>SALES TAX PAYABLE</t>
  </si>
  <si>
    <t>LATERAL ROAD FUND EXPENSE</t>
  </si>
  <si>
    <t>TRUCK REPAIR &amp; PARTS</t>
  </si>
  <si>
    <t>MACHINERY REPAIR &amp; PARTS</t>
  </si>
  <si>
    <t>SUNDRY-MAINTENANCE</t>
  </si>
  <si>
    <t>ROW ACQUISITIONS</t>
  </si>
  <si>
    <t>ROAD SIGN MATERIALS</t>
  </si>
  <si>
    <t>CONTRACT CONSTRUCTION</t>
  </si>
  <si>
    <t>EQUIPMENT-LEASE PAYMENTS</t>
  </si>
  <si>
    <t>GPS/MONITORING/INSTALL/MAINT</t>
  </si>
  <si>
    <t>EQUIPMENT LEASE - PRINCIPAL</t>
  </si>
  <si>
    <t>EQUIPMENT LEASE - INTEREST</t>
  </si>
  <si>
    <t>140.400.7200.00</t>
  </si>
  <si>
    <t>180.400.7200.00</t>
  </si>
  <si>
    <t>450.400.7200.00</t>
  </si>
  <si>
    <t>470.400.7200.00</t>
  </si>
  <si>
    <t>ROAD DAMAGE REIMBURSEMENTS</t>
  </si>
  <si>
    <t>ROAD MATERIAL PURCHASES</t>
  </si>
  <si>
    <t>OIL &amp; GAS ROYALTY</t>
  </si>
  <si>
    <t>AVAILABLE SCHOOL FUND DISTRIBUTION</t>
  </si>
  <si>
    <t>PSF ROYALTIES DISTRIBUTION</t>
  </si>
  <si>
    <t xml:space="preserve">EQUIPMENT/MAINTENANCE </t>
  </si>
  <si>
    <t>LEOSE TRAINING - CONSTABLE #1</t>
  </si>
  <si>
    <t>LEOSE TRAINING - CONSTABLE #2</t>
  </si>
  <si>
    <t>LEOSE TRAINING - CONSTABLE #3</t>
  </si>
  <si>
    <t>LEOSE TRAINING - CONSTABLE #4</t>
  </si>
  <si>
    <t>LEOSE TRAINING - FIRE MARSHAL</t>
  </si>
  <si>
    <t>LEOSE TRAINING - DA</t>
  </si>
  <si>
    <t>TRAVEL EXPENSE - DIST ATTORNEY</t>
  </si>
  <si>
    <t>TRAVEL EXPENSE - FIRE MARSHAL</t>
  </si>
  <si>
    <t>TRAVEL EXPENSE - CONSTABLE #1</t>
  </si>
  <si>
    <t>TRAVEL EXPENSE - CONSTABLE #2</t>
  </si>
  <si>
    <t>TRAVEL EXPENSE - CONSTABLE #3</t>
  </si>
  <si>
    <t>TRAVEL EXPENSE - CONSTABLE #4</t>
  </si>
  <si>
    <t>BOOKS, EQUIP &amp; SUPPLIES</t>
  </si>
  <si>
    <t>AIRPORT GRANT-REIMBURSEMENT</t>
  </si>
  <si>
    <t>HANGAR LEASES</t>
  </si>
  <si>
    <t>MAINTENANCE FEE/TIE DOWNS</t>
  </si>
  <si>
    <t>SALE OF FUEL</t>
  </si>
  <si>
    <t>MANAGER'S CONTRACT</t>
  </si>
  <si>
    <t>MANAGER'S CONTIGENCY/HANGER 10</t>
  </si>
  <si>
    <t>CONTRACT SERVICES - FEES</t>
  </si>
  <si>
    <t>PARTS &amp; REPAIR</t>
  </si>
  <si>
    <t>STATE GRANT MATCH</t>
  </si>
  <si>
    <t>PERM IMP-RAMP PROGRAM</t>
  </si>
  <si>
    <t>TAX COLLECTOR - CHARGES FOR SERVS</t>
  </si>
  <si>
    <t>VIT ESCROW ACCOUNT INTEREST</t>
  </si>
  <si>
    <t>TRAINING EXPENSE</t>
  </si>
  <si>
    <t>CHILD SAFETY FEE</t>
  </si>
  <si>
    <t>CITY OF SCOTTSVILLE</t>
  </si>
  <si>
    <t>CITY OF WASKOM</t>
  </si>
  <si>
    <t>CITY OF HALLSVILLE</t>
  </si>
  <si>
    <t>CITY OF MARSHALL</t>
  </si>
  <si>
    <t>CITY OF LONGVIEW</t>
  </si>
  <si>
    <t>CITY OF UNCERTAIN</t>
  </si>
  <si>
    <t>EAST TEXAS OPEN DOOR</t>
  </si>
  <si>
    <t>ETEX DRUG ABUSE COUNCIL</t>
  </si>
  <si>
    <t>BOYS &amp; GIRLS CLUB</t>
  </si>
  <si>
    <t>EAST TEXAS CHILD ADVOCATES</t>
  </si>
  <si>
    <t>CHILDREN'S ADVOCACY - MARTIN HOUSE</t>
  </si>
  <si>
    <t>COUNTY ADMINISTRATIVE FEE</t>
  </si>
  <si>
    <t>TRIAL EXP - CAPITAL MURDER</t>
  </si>
  <si>
    <t>TECHNOLOGY CRIMINAL FEE - COUNTY</t>
  </si>
  <si>
    <t>TECHNOLOGY CRIMINAL FEE - DISTRICT</t>
  </si>
  <si>
    <t>TECHNOLOGY CRIMINAL FEE</t>
  </si>
  <si>
    <t>RECORDS ARCHIVE FEE</t>
  </si>
  <si>
    <t>JUSTICE COURT FEES</t>
  </si>
  <si>
    <t>SALARY-PART TIME/TEMP</t>
  </si>
  <si>
    <t>INTERNET SERVICES</t>
  </si>
  <si>
    <t>SOFTWARE UPGRADE</t>
  </si>
  <si>
    <t>CASE MANAGER FEES</t>
  </si>
  <si>
    <t>TRUANCY PREVENTION FEES</t>
  </si>
  <si>
    <t>LICENSE UPDATES</t>
  </si>
  <si>
    <t>LEVEL 5 PLACEMENT</t>
  </si>
  <si>
    <t>PROBATION FEES</t>
  </si>
  <si>
    <t>DRUG TEST FEES</t>
  </si>
  <si>
    <t>ELECTRONIC MONITORING FEES</t>
  </si>
  <si>
    <t>DETENTION FEES-OTHER</t>
  </si>
  <si>
    <t>SALARY-JUVENILE BOARD</t>
  </si>
  <si>
    <t>SALARY-STATE SUPPLEMENT</t>
  </si>
  <si>
    <t>NON/RESIDENTIAL SVCS</t>
  </si>
  <si>
    <t>FEASIBILITY STUDY</t>
  </si>
  <si>
    <t>PHONE SYSTEM</t>
  </si>
  <si>
    <t>REPAIRS/MAINTENANCE</t>
  </si>
  <si>
    <t>ELECTRONIC MONITORING</t>
  </si>
  <si>
    <t>SALARY-SCHOOL LUNCH PROGRAM</t>
  </si>
  <si>
    <t>CCAP - Y</t>
  </si>
  <si>
    <t>JUVENILE STATE AID - A</t>
  </si>
  <si>
    <t>FACILITY OPERATING - V</t>
  </si>
  <si>
    <t>JUVENILE STATE AID - F</t>
  </si>
  <si>
    <t>REGIONAL INCENTIVE - X</t>
  </si>
  <si>
    <t xml:space="preserve">JUVENILE STATE AID - H </t>
  </si>
  <si>
    <t>ETCOG - EVALUATION SERVICES</t>
  </si>
  <si>
    <t>JUVENILE STATE AID - N</t>
  </si>
  <si>
    <t>JUVENILE STATE AID - R</t>
  </si>
  <si>
    <t>STATE SALARY SUPPLEMENT - Z</t>
  </si>
  <si>
    <t>SALARY-JUVENILE PROBATION</t>
  </si>
  <si>
    <t>SALARY-JUVENILE DETENTION</t>
  </si>
  <si>
    <t>LONGEVITY</t>
  </si>
  <si>
    <t>NON-RESIDENTIAL SVCS</t>
  </si>
  <si>
    <t>COUNSELING PRE &amp; POST ADJUDICATION</t>
  </si>
  <si>
    <t>SEX OFFENDER TREATMENT</t>
  </si>
  <si>
    <t>COUNSELING PRE-ADJUDICATION</t>
  </si>
  <si>
    <t>FAMILY REUNIFICATION</t>
  </si>
  <si>
    <t>RISK &amp; NEEDS ASSESSMENT</t>
  </si>
  <si>
    <t>SALARY-JUVENILE GRANT "F"</t>
  </si>
  <si>
    <t>SALARY-JUVENILE GRANT "CCAP"</t>
  </si>
  <si>
    <t>SALARY-JUVENILE GRANT "V"</t>
  </si>
  <si>
    <t>STAR BOOT CAMP-CITY/ISD/MISC - GOV</t>
  </si>
  <si>
    <t>JUVENILE PROB. FEES</t>
  </si>
  <si>
    <t>CITY WASTE CONTRACT</t>
  </si>
  <si>
    <t>SALARY-DRILL INSTRUCTORS</t>
  </si>
  <si>
    <t>MENTAL OFFICER GRANT</t>
  </si>
  <si>
    <t>SCAAP</t>
  </si>
  <si>
    <t>TOBACCO COMPLIANCE GRANT</t>
  </si>
  <si>
    <t>TITLE IV-E LEGAL</t>
  </si>
  <si>
    <t>TXDOT STEP  SPEED GRANT</t>
  </si>
  <si>
    <t>DA VINE GRANT</t>
  </si>
  <si>
    <t>BODY WORN CAMERA GRANT</t>
  </si>
  <si>
    <t>C.O.P.S. GRANT</t>
  </si>
  <si>
    <t>ETCOG - SOLID WASTE GRANT</t>
  </si>
  <si>
    <t>ELYSIAN FIELDS VFD REPEATER PROJECT</t>
  </si>
  <si>
    <t>CADDO LAKE WATER SUPPLY</t>
  </si>
  <si>
    <t>TALLEY WATER SUPPLY</t>
  </si>
  <si>
    <t>TRANSPORTATION INFRASTRUCTURE (TXDOT)</t>
  </si>
  <si>
    <t>EDWARD BYRNE JAG - CRIME DATA/SCENE INVEST.</t>
  </si>
  <si>
    <t>EQUIPMENT</t>
  </si>
  <si>
    <t>MENTAL OFFICER</t>
  </si>
  <si>
    <t>TRAFFIC SAFETY</t>
  </si>
  <si>
    <t>TOBACCO-CPA</t>
  </si>
  <si>
    <t>TRANSPORTATION INFRASTRUCTURE FUND (TXDOT)</t>
  </si>
  <si>
    <t>C.O.P.S.</t>
  </si>
  <si>
    <t>EDWARD BYRNE JAG-CRIME DATA/SCENE INVESTIG.</t>
  </si>
  <si>
    <t>BJA-SCAAP</t>
  </si>
  <si>
    <t>DA VINE</t>
  </si>
  <si>
    <t>ELYSIAN FIELDS REPEATER PROJECT</t>
  </si>
  <si>
    <t>CADDO WATER SUPPLY</t>
  </si>
  <si>
    <t>SALARY-MENTAL OFFICER</t>
  </si>
  <si>
    <t xml:space="preserve">RETIREMENT   </t>
  </si>
  <si>
    <t xml:space="preserve">GROUP HEALTH INSURANCE </t>
  </si>
  <si>
    <t>SALARY-COUNTY GRANT</t>
  </si>
  <si>
    <t>BUY MONEY</t>
  </si>
  <si>
    <t>PARTICIPANT PAY</t>
  </si>
  <si>
    <t>490.945</t>
  </si>
  <si>
    <t>SOLID WASTE OFFICER</t>
  </si>
  <si>
    <r>
      <t xml:space="preserve">2008 TXCDBG DISASTER RECOVERY - </t>
    </r>
    <r>
      <rPr>
        <b/>
        <sz val="10"/>
        <rFont val="Arial"/>
        <family val="2"/>
      </rPr>
      <t>GENERATORS</t>
    </r>
  </si>
  <si>
    <t xml:space="preserve">COUNTY CLERK </t>
  </si>
  <si>
    <t>COPIES</t>
  </si>
  <si>
    <t>RECORDS PRES. &amp; AUTOMATION</t>
  </si>
  <si>
    <t>RECORD ARCHIVE FEES</t>
  </si>
  <si>
    <t>VITAL ARCHIVE FEES</t>
  </si>
  <si>
    <t>VITAL ARCHIVE</t>
  </si>
  <si>
    <t>RECORD PRES. &amp; AUTOMATION</t>
  </si>
  <si>
    <t>COURT RECORDS FEE</t>
  </si>
  <si>
    <t xml:space="preserve">COUNTY   </t>
  </si>
  <si>
    <t>SUB-COURTHOUSE</t>
  </si>
  <si>
    <t>SALARY-SECURITY OFFICER</t>
  </si>
  <si>
    <t>SALARY-SHERIFF DEPT. OVERTIME</t>
  </si>
  <si>
    <t>SECURITY &amp; FIRE ALARM SYSTEM</t>
  </si>
  <si>
    <t>550.400.7200.00</t>
  </si>
  <si>
    <t>SUB-COURTHOUSE SECURITY</t>
  </si>
  <si>
    <t>GUARDIANSHIP EXPENSES</t>
  </si>
  <si>
    <t>DISTRICT CLERK APPELLATE FEES</t>
  </si>
  <si>
    <t>COUNTY CLERK APPELLATE FEES</t>
  </si>
  <si>
    <t>JAIL-CO-PRINCIPAL</t>
  </si>
  <si>
    <t>JAIL-CO-INTEREST</t>
  </si>
  <si>
    <t>2009 CAPITAL LEASE-MG-PRINCIPAL</t>
  </si>
  <si>
    <t>2009 CAPITAL LEASE-MG-INTEREST</t>
  </si>
  <si>
    <t>2010 CAPITAL LEASE-SO-PRINCIPAL</t>
  </si>
  <si>
    <t>2010 CAPITAL LEASE-SO-INTEREST</t>
  </si>
  <si>
    <t>2012 CAPITAL LEASE-RB #007 PRINCIPAL</t>
  </si>
  <si>
    <t>2012 CAPITAL LEASE-RB #007 INTEREST</t>
  </si>
  <si>
    <t>2012 CAPITAL LEASE-RB-MG-#008 PRINCIPAL</t>
  </si>
  <si>
    <t>2012 CAPITAL LEASE-RB-MG-#008 INTEREST</t>
  </si>
  <si>
    <t>2013 CAPITAL LEASE-RB-EXC-#010 PRINCIPAL</t>
  </si>
  <si>
    <t>2013 CAPITAL LEASE-RB-EXC-#010 INTEREST</t>
  </si>
  <si>
    <t>2013 CAPITAL LEASE-RB-DPTRK-#011 PRINCIPAL</t>
  </si>
  <si>
    <t>2013 CAPITAL LEASE-RB-DPTRK-#011 INTEREST</t>
  </si>
  <si>
    <t>2013 CAPITAL LEASE-SO VEH-#012 PRINCIPAL</t>
  </si>
  <si>
    <t>2013 CAPITAL LEASE-SO VEH-#012 INTEREST</t>
  </si>
  <si>
    <t>2014 CAPITAL LEASE-RB-MG-#013 PRINCIPAL</t>
  </si>
  <si>
    <t>2014 CAPITAL LEASE-RB-MG-#013 INTEREST</t>
  </si>
  <si>
    <t>2015 CAPITAL LEASE-RB-MG-#014 PRINCIPAL</t>
  </si>
  <si>
    <t>2015 CAPITAL LEASE-RB-MG-#014 INTEREST</t>
  </si>
  <si>
    <t>SERVICE FEES</t>
  </si>
  <si>
    <t>610.400.7200.00</t>
  </si>
  <si>
    <t>GENERAL  BUILDING</t>
  </si>
  <si>
    <t>JAIL IMPROVEMENTS</t>
  </si>
  <si>
    <t>JAIL ROOF PROJECT</t>
  </si>
  <si>
    <t>WILLOUGHBY DETENTION CENTER ROOF</t>
  </si>
  <si>
    <t>CONTINGENCY-GENL BLDG</t>
  </si>
  <si>
    <t>CONTINGENCY-JAIL</t>
  </si>
  <si>
    <t>COURTHOUSE ROOF</t>
  </si>
  <si>
    <t>DEBT PROCEEDS</t>
  </si>
  <si>
    <t>JAIL CONSTRUCTION</t>
  </si>
  <si>
    <t>JAIL ARCHITECT FEES</t>
  </si>
  <si>
    <t>STATE GRANT</t>
  </si>
  <si>
    <t>CONSTRUCTION COSTS</t>
  </si>
  <si>
    <t>ARCHITECT FEES</t>
  </si>
  <si>
    <t>STATE DISBURSEMENT</t>
  </si>
  <si>
    <t>ALZHEIMER'S ALLIANCE</t>
  </si>
  <si>
    <t>WOMEN'S CENTER OF EAST TEXAS</t>
  </si>
  <si>
    <t>HARRISON COUNTY RED CROSS</t>
  </si>
  <si>
    <t>ARC OFHARRISON COUNTY</t>
  </si>
  <si>
    <t>LITERACY COUNCIL</t>
  </si>
  <si>
    <t>EVIDENCE TESTING</t>
  </si>
  <si>
    <t>OPERATING LEASE PAYMENTS</t>
  </si>
  <si>
    <t>OPERATING LEASE INTEREST</t>
  </si>
  <si>
    <t>STATE-SALARY SUPPLEMENT</t>
  </si>
  <si>
    <t>DA HOT CHECK SERVICE FEES</t>
  </si>
  <si>
    <t>PRETRIAL DIVERSION</t>
  </si>
  <si>
    <t>DA FORFEITURE FUNDS</t>
  </si>
  <si>
    <t>SALARY-ASSISTANTS</t>
  </si>
  <si>
    <t>SALARY-DA SUPPLEMENT</t>
  </si>
  <si>
    <t>CHILDREN'S ADVOCACY CENTER</t>
  </si>
  <si>
    <t>PRE-TRIAL DIVERSION PROGRAM EXP.</t>
  </si>
  <si>
    <t>Elizabeth James, County Clerk</t>
  </si>
  <si>
    <t>ELIZABETH JAMES</t>
  </si>
  <si>
    <t>CASH AND INVESTMENTS AT JUNE 30, 2020</t>
  </si>
  <si>
    <t>CASH &amp; INVESTMENTS -  JUNE 30, 2020</t>
  </si>
  <si>
    <t>2019 Secured Equipment Note #17</t>
  </si>
  <si>
    <t>100.501.4312.30</t>
  </si>
  <si>
    <t>STOCK ITEMS</t>
  </si>
  <si>
    <t>710.400.7200.00</t>
  </si>
  <si>
    <t>720.400.7200.00</t>
  </si>
  <si>
    <t>Includes: GF, Jury, R&amp;B, Protested Property Tax, Emergency, Airport Fund, Capital Murder,Juvenile, Interest &amp; Sinking, Permanent Improvement, Tobacco Settlement, Courthouse Maintenance</t>
  </si>
  <si>
    <t>Includes: GF, Protested Property Taxes, Emergency, Capital Murder, Tobacco Settlement, Courthouse Maintenance</t>
  </si>
  <si>
    <t>2020 Secured Equipment Note #18</t>
  </si>
  <si>
    <t>07/12/20201</t>
  </si>
  <si>
    <t>2020 SECURED EQUIPMENT #018 (BancorpSouth)</t>
  </si>
  <si>
    <t>2019 SECURED EQUIPMENT #017 (BancorpSouth)</t>
  </si>
  <si>
    <t>100.511.4588.35</t>
  </si>
  <si>
    <t>AUTO LEASE PAYMENT</t>
  </si>
  <si>
    <t>100.543.4588.35</t>
  </si>
  <si>
    <t>100.561.4588.45</t>
  </si>
  <si>
    <t>100.631.4588.55</t>
  </si>
  <si>
    <t>140.620.4588.40</t>
  </si>
  <si>
    <t>450.570.4588.45</t>
  </si>
  <si>
    <t>Will reach out to Liz Vaughn in mid-July for an estimate.</t>
  </si>
  <si>
    <t>SALARIES FOR HARRISON COUNTY ELECTED OFFICIALS FOR THE 2020-2021 FISCAL YEAR BEGINNING OCTOBER 1, 2020.</t>
  </si>
  <si>
    <t>NET POSITION (Receipts - Disbursements)</t>
  </si>
  <si>
    <t>100.340.3484.00</t>
  </si>
  <si>
    <t>TIME PAYMENT FEE</t>
  </si>
  <si>
    <t>100.471.4201.20</t>
  </si>
  <si>
    <t>100.454.4588.20</t>
  </si>
  <si>
    <t>Updated 7/22</t>
  </si>
  <si>
    <t>MICROFILING / INDEXING</t>
  </si>
  <si>
    <t>100.451.4421.15</t>
  </si>
  <si>
    <t>100.435.4421.15</t>
  </si>
  <si>
    <t>100.496.4421.10</t>
  </si>
  <si>
    <t>100.503.4165.30</t>
  </si>
  <si>
    <t>INFORMATION TECHNOLOGY (503)</t>
  </si>
  <si>
    <t>100.565.4588.45</t>
  </si>
  <si>
    <t>42-45</t>
  </si>
  <si>
    <t>46-52</t>
  </si>
  <si>
    <t>63-64</t>
  </si>
  <si>
    <t>INFORMATION TECHNOLOGY</t>
  </si>
  <si>
    <t>COMMUNITY CORRECTIONS ASSISTANCE</t>
  </si>
  <si>
    <t>2020-2021 ADOPTED BUDGET</t>
  </si>
  <si>
    <t>September 2, 2020</t>
  </si>
  <si>
    <t>We submit herewith the 2021 Adopted Budget for Harrison County which was approved this date.</t>
  </si>
  <si>
    <r>
      <t>The tax revenues are distributed based on a tax levy of</t>
    </r>
    <r>
      <rPr>
        <b/>
        <sz val="11"/>
        <color rgb="FFC00000"/>
        <rFont val="Arial"/>
        <family val="2"/>
      </rPr>
      <t xml:space="preserve"> </t>
    </r>
    <r>
      <rPr>
        <sz val="11"/>
        <rFont val="Arial"/>
        <family val="2"/>
      </rPr>
      <t>$.3548 per $100 assessed valuation.</t>
    </r>
  </si>
  <si>
    <t>total $32,012,932.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</si>
</sst>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.000%"/>
    <numFmt numFmtId="166" formatCode="0.000"/>
    <numFmt numFmtId="167" formatCode="&quot;$&quot;#,##0"/>
    <numFmt numFmtId="168" formatCode="0.000_);\(0.000\)"/>
    <numFmt numFmtId="169" formatCode="_(* #,##0_);_(* \(#,##0\);_(* &quot;-&quot;??_);_(@_)"/>
    <numFmt numFmtId="170" formatCode="_(* #,##0.0000_);_(* \(#,##0.0000\);_(* &quot;-&quot;?????_);_(@_)"/>
    <numFmt numFmtId="173" formatCode="#,##0.00000000000_);\(#,##0.00000000000\)"/>
    <numFmt numFmtId="174" formatCode="_(* #,##0.00000_);_(* \(#,##0.00000\);_(* &quot;-&quot;?????_);_(@_)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b/>
      <sz val="11"/>
      <color rgb="FFC0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0" fontId="12" fillId="0" borderId="0">
      <protection locked="0" hidden="1"/>
    </xf>
    <xf numFmtId="9" fontId="15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306">
    <xf numFmtId="0" fontId="0" fillId="0" borderId="0" xfId="0"/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5" fontId="0" fillId="0" borderId="0" xfId="0" applyNumberFormat="1"/>
    <xf numFmtId="37" fontId="0" fillId="0" borderId="0" xfId="0" applyNumberFormat="1"/>
    <xf numFmtId="41" fontId="0" fillId="0" borderId="0" xfId="0" applyNumberFormat="1"/>
    <xf numFmtId="37" fontId="0" fillId="0" borderId="1" xfId="0" applyNumberFormat="1" applyBorder="1"/>
    <xf numFmtId="41" fontId="0" fillId="0" borderId="1" xfId="0" applyNumberFormat="1" applyBorder="1"/>
    <xf numFmtId="0" fontId="0" fillId="0" borderId="0" xfId="0" applyAlignment="1">
      <alignment horizontal="right"/>
    </xf>
    <xf numFmtId="5" fontId="0" fillId="0" borderId="2" xfId="0" applyNumberFormat="1" applyBorder="1"/>
    <xf numFmtId="5" fontId="0" fillId="0" borderId="0" xfId="0" applyNumberFormat="1" applyBorder="1"/>
    <xf numFmtId="41" fontId="0" fillId="0" borderId="0" xfId="0" applyNumberFormat="1" applyBorder="1"/>
    <xf numFmtId="5" fontId="0" fillId="0" borderId="3" xfId="0" applyNumberFormat="1" applyBorder="1"/>
    <xf numFmtId="49" fontId="0" fillId="0" borderId="0" xfId="0" applyNumberFormat="1"/>
    <xf numFmtId="49" fontId="0" fillId="0" borderId="0" xfId="0" applyNumberFormat="1" applyBorder="1"/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right"/>
    </xf>
    <xf numFmtId="5" fontId="0" fillId="0" borderId="1" xfId="0" applyNumberFormat="1" applyBorder="1"/>
    <xf numFmtId="5" fontId="0" fillId="0" borderId="4" xfId="0" applyNumberFormat="1" applyBorder="1"/>
    <xf numFmtId="41" fontId="4" fillId="0" borderId="0" xfId="0" applyNumberFormat="1" applyFont="1"/>
    <xf numFmtId="0" fontId="0" fillId="0" borderId="0" xfId="0" applyFill="1" applyBorder="1"/>
    <xf numFmtId="5" fontId="4" fillId="0" borderId="0" xfId="0" applyNumberFormat="1" applyFont="1"/>
    <xf numFmtId="41" fontId="1" fillId="0" borderId="0" xfId="0" applyNumberFormat="1" applyFont="1"/>
    <xf numFmtId="41" fontId="4" fillId="0" borderId="1" xfId="0" applyNumberFormat="1" applyFont="1" applyBorder="1"/>
    <xf numFmtId="37" fontId="0" fillId="0" borderId="0" xfId="0" applyNumberFormat="1" applyBorder="1"/>
    <xf numFmtId="0" fontId="3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left"/>
    </xf>
    <xf numFmtId="41" fontId="1" fillId="0" borderId="0" xfId="0" applyNumberFormat="1" applyFont="1" applyFill="1"/>
    <xf numFmtId="5" fontId="4" fillId="0" borderId="3" xfId="0" applyNumberFormat="1" applyFont="1" applyBorder="1"/>
    <xf numFmtId="5" fontId="0" fillId="0" borderId="5" xfId="0" applyNumberFormat="1" applyBorder="1"/>
    <xf numFmtId="166" fontId="0" fillId="0" borderId="0" xfId="0" applyNumberFormat="1" applyAlignment="1">
      <alignment horizontal="left"/>
    </xf>
    <xf numFmtId="0" fontId="3" fillId="0" borderId="0" xfId="0" applyFont="1" applyAlignment="1"/>
    <xf numFmtId="0" fontId="0" fillId="0" borderId="0" xfId="0" applyAlignment="1">
      <alignment horizontal="left"/>
    </xf>
    <xf numFmtId="41" fontId="1" fillId="0" borderId="0" xfId="0" applyNumberFormat="1" applyFont="1" applyBorder="1"/>
    <xf numFmtId="41" fontId="4" fillId="0" borderId="0" xfId="0" applyNumberFormat="1" applyFont="1" applyBorder="1"/>
    <xf numFmtId="5" fontId="1" fillId="0" borderId="1" xfId="0" applyNumberFormat="1" applyFont="1" applyBorder="1"/>
    <xf numFmtId="167" fontId="0" fillId="0" borderId="0" xfId="0" applyNumberFormat="1"/>
    <xf numFmtId="167" fontId="0" fillId="0" borderId="2" xfId="0" applyNumberFormat="1" applyBorder="1"/>
    <xf numFmtId="167" fontId="0" fillId="0" borderId="0" xfId="0" applyNumberFormat="1" applyBorder="1"/>
    <xf numFmtId="43" fontId="0" fillId="0" borderId="0" xfId="0" applyNumberFormat="1" applyBorder="1"/>
    <xf numFmtId="5" fontId="1" fillId="0" borderId="0" xfId="1" applyNumberFormat="1"/>
    <xf numFmtId="41" fontId="1" fillId="0" borderId="0" xfId="1" applyNumberFormat="1"/>
    <xf numFmtId="0" fontId="0" fillId="0" borderId="1" xfId="0" applyBorder="1"/>
    <xf numFmtId="43" fontId="0" fillId="0" borderId="0" xfId="0" applyNumberFormat="1"/>
    <xf numFmtId="168" fontId="0" fillId="0" borderId="0" xfId="0" applyNumberFormat="1"/>
    <xf numFmtId="168" fontId="0" fillId="0" borderId="0" xfId="0" applyNumberFormat="1" applyAlignment="1">
      <alignment horizontal="left"/>
    </xf>
    <xf numFmtId="0" fontId="4" fillId="0" borderId="0" xfId="0" applyFont="1" applyAlignment="1">
      <alignment horizontal="center"/>
    </xf>
    <xf numFmtId="41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5" fontId="4" fillId="0" borderId="1" xfId="0" applyNumberFormat="1" applyFont="1" applyBorder="1"/>
    <xf numFmtId="3" fontId="0" fillId="0" borderId="0" xfId="0" applyNumberFormat="1"/>
    <xf numFmtId="5" fontId="4" fillId="0" borderId="0" xfId="0" applyNumberFormat="1" applyFont="1" applyBorder="1"/>
    <xf numFmtId="49" fontId="5" fillId="0" borderId="0" xfId="0" applyNumberFormat="1" applyFont="1"/>
    <xf numFmtId="37" fontId="0" fillId="0" borderId="0" xfId="0" applyNumberFormat="1" applyFill="1" applyBorder="1"/>
    <xf numFmtId="49" fontId="1" fillId="0" borderId="0" xfId="0" applyNumberFormat="1" applyFont="1"/>
    <xf numFmtId="0" fontId="0" fillId="0" borderId="0" xfId="0" applyFill="1"/>
    <xf numFmtId="41" fontId="0" fillId="0" borderId="1" xfId="0" applyNumberFormat="1" applyFill="1" applyBorder="1"/>
    <xf numFmtId="5" fontId="1" fillId="0" borderId="0" xfId="1" applyNumberFormat="1" applyBorder="1"/>
    <xf numFmtId="41" fontId="1" fillId="0" borderId="0" xfId="1" applyNumberFormat="1" applyBorder="1"/>
    <xf numFmtId="5" fontId="0" fillId="0" borderId="0" xfId="0" applyNumberFormat="1" applyFill="1"/>
    <xf numFmtId="41" fontId="0" fillId="0" borderId="0" xfId="0" applyNumberFormat="1" applyFill="1"/>
    <xf numFmtId="41" fontId="4" fillId="0" borderId="1" xfId="0" applyNumberFormat="1" applyFont="1" applyFill="1" applyBorder="1"/>
    <xf numFmtId="5" fontId="0" fillId="0" borderId="4" xfId="0" applyNumberFormat="1" applyFill="1" applyBorder="1"/>
    <xf numFmtId="41" fontId="0" fillId="0" borderId="3" xfId="0" applyNumberFormat="1" applyBorder="1"/>
    <xf numFmtId="5" fontId="0" fillId="0" borderId="3" xfId="0" applyNumberFormat="1" applyFill="1" applyBorder="1"/>
    <xf numFmtId="5" fontId="0" fillId="0" borderId="0" xfId="0" applyNumberFormat="1" applyFill="1" applyBorder="1"/>
    <xf numFmtId="5" fontId="0" fillId="0" borderId="1" xfId="0" applyNumberFormat="1" applyFill="1" applyBorder="1"/>
    <xf numFmtId="5" fontId="4" fillId="0" borderId="0" xfId="0" applyNumberFormat="1" applyFont="1" applyFill="1"/>
    <xf numFmtId="0" fontId="3" fillId="0" borderId="0" xfId="0" applyFont="1" applyFill="1" applyAlignment="1">
      <alignment horizontal="center"/>
    </xf>
    <xf numFmtId="6" fontId="0" fillId="0" borderId="0" xfId="0" applyNumberFormat="1"/>
    <xf numFmtId="0" fontId="3" fillId="0" borderId="1" xfId="0" applyFont="1" applyFill="1" applyBorder="1" applyAlignment="1">
      <alignment horizontal="center"/>
    </xf>
    <xf numFmtId="5" fontId="0" fillId="0" borderId="2" xfId="0" applyNumberFormat="1" applyFill="1" applyBorder="1"/>
    <xf numFmtId="49" fontId="0" fillId="0" borderId="0" xfId="0" applyNumberFormat="1" applyFill="1"/>
    <xf numFmtId="5" fontId="1" fillId="0" borderId="0" xfId="0" applyNumberFormat="1" applyFont="1" applyFill="1"/>
    <xf numFmtId="37" fontId="0" fillId="0" borderId="0" xfId="0" applyNumberFormat="1" applyFill="1"/>
    <xf numFmtId="41" fontId="4" fillId="0" borderId="0" xfId="0" applyNumberFormat="1" applyFont="1" applyFill="1"/>
    <xf numFmtId="5" fontId="4" fillId="0" borderId="4" xfId="0" applyNumberFormat="1" applyFont="1" applyFill="1" applyBorder="1"/>
    <xf numFmtId="41" fontId="1" fillId="0" borderId="0" xfId="0" applyNumberFormat="1" applyFont="1" applyFill="1" applyBorder="1"/>
    <xf numFmtId="41" fontId="1" fillId="0" borderId="1" xfId="0" applyNumberFormat="1" applyFont="1" applyFill="1" applyBorder="1"/>
    <xf numFmtId="37" fontId="1" fillId="0" borderId="0" xfId="0" applyNumberFormat="1" applyFont="1" applyFill="1"/>
    <xf numFmtId="41" fontId="0" fillId="0" borderId="4" xfId="0" applyNumberFormat="1" applyFill="1" applyBorder="1"/>
    <xf numFmtId="0" fontId="3" fillId="0" borderId="0" xfId="0" applyFont="1" applyFill="1"/>
    <xf numFmtId="5" fontId="4" fillId="0" borderId="0" xfId="0" applyNumberFormat="1" applyFont="1" applyFill="1" applyBorder="1"/>
    <xf numFmtId="41" fontId="0" fillId="0" borderId="0" xfId="0" applyNumberFormat="1" applyFill="1" applyBorder="1" applyAlignment="1"/>
    <xf numFmtId="43" fontId="0" fillId="0" borderId="0" xfId="0" applyNumberFormat="1" applyFill="1"/>
    <xf numFmtId="37" fontId="0" fillId="0" borderId="1" xfId="0" applyNumberFormat="1" applyFill="1" applyBorder="1"/>
    <xf numFmtId="5" fontId="0" fillId="0" borderId="5" xfId="0" applyNumberFormat="1" applyFill="1" applyBorder="1"/>
    <xf numFmtId="167" fontId="0" fillId="0" borderId="0" xfId="0" applyNumberFormat="1" applyFill="1"/>
    <xf numFmtId="5" fontId="4" fillId="0" borderId="0" xfId="0" applyNumberFormat="1" applyFont="1" applyFill="1" applyBorder="1" applyAlignment="1"/>
    <xf numFmtId="41" fontId="4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38" fontId="0" fillId="0" borderId="0" xfId="0" applyNumberFormat="1" applyFill="1" applyAlignment="1"/>
    <xf numFmtId="38" fontId="0" fillId="0" borderId="0" xfId="0" applyNumberFormat="1" applyFill="1" applyBorder="1" applyAlignment="1"/>
    <xf numFmtId="5" fontId="4" fillId="0" borderId="3" xfId="0" applyNumberFormat="1" applyFont="1" applyFill="1" applyBorder="1"/>
    <xf numFmtId="5" fontId="1" fillId="0" borderId="1" xfId="0" applyNumberFormat="1" applyFont="1" applyFill="1" applyBorder="1"/>
    <xf numFmtId="5" fontId="4" fillId="0" borderId="1" xfId="0" applyNumberFormat="1" applyFont="1" applyFill="1" applyBorder="1"/>
    <xf numFmtId="41" fontId="0" fillId="0" borderId="0" xfId="0" applyNumberFormat="1" applyBorder="1" applyAlignment="1">
      <alignment horizontal="left"/>
    </xf>
    <xf numFmtId="5" fontId="3" fillId="0" borderId="0" xfId="0" applyNumberFormat="1" applyFont="1" applyAlignment="1">
      <alignment horizontal="left"/>
    </xf>
    <xf numFmtId="0" fontId="1" fillId="0" borderId="0" xfId="0" applyFont="1"/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9" fontId="0" fillId="0" borderId="0" xfId="0" applyNumberFormat="1" applyFill="1" applyBorder="1"/>
    <xf numFmtId="0" fontId="3" fillId="0" borderId="0" xfId="0" applyFont="1" applyFill="1" applyBorder="1" applyAlignment="1">
      <alignment horizontal="center" wrapText="1"/>
    </xf>
    <xf numFmtId="3" fontId="1" fillId="0" borderId="0" xfId="0" applyNumberFormat="1" applyFont="1"/>
    <xf numFmtId="3" fontId="0" fillId="0" borderId="0" xfId="0" applyNumberFormat="1" applyFill="1"/>
    <xf numFmtId="0" fontId="3" fillId="0" borderId="1" xfId="0" applyFont="1" applyFill="1" applyBorder="1"/>
    <xf numFmtId="6" fontId="0" fillId="0" borderId="2" xfId="0" applyNumberFormat="1" applyBorder="1"/>
    <xf numFmtId="43" fontId="0" fillId="0" borderId="0" xfId="0" applyNumberFormat="1" applyFill="1" applyBorder="1"/>
    <xf numFmtId="167" fontId="0" fillId="0" borderId="2" xfId="0" applyNumberFormat="1" applyFill="1" applyBorder="1"/>
    <xf numFmtId="167" fontId="0" fillId="0" borderId="0" xfId="0" applyNumberFormat="1" applyFill="1" applyBorder="1"/>
    <xf numFmtId="1" fontId="6" fillId="0" borderId="0" xfId="0" applyNumberFormat="1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/>
    <xf numFmtId="0" fontId="0" fillId="0" borderId="0" xfId="0" applyFill="1" applyAlignment="1">
      <alignment horizontal="center"/>
    </xf>
    <xf numFmtId="7" fontId="0" fillId="0" borderId="0" xfId="0" applyNumberFormat="1" applyFill="1"/>
    <xf numFmtId="3" fontId="1" fillId="0" borderId="0" xfId="0" applyNumberFormat="1" applyFont="1" applyFill="1"/>
    <xf numFmtId="0" fontId="3" fillId="0" borderId="0" xfId="0" applyFont="1" applyFill="1" applyAlignment="1">
      <alignment horizontal="right"/>
    </xf>
    <xf numFmtId="3" fontId="0" fillId="0" borderId="0" xfId="0" applyNumberFormat="1" applyBorder="1"/>
    <xf numFmtId="49" fontId="4" fillId="0" borderId="0" xfId="0" applyNumberFormat="1" applyFont="1"/>
    <xf numFmtId="167" fontId="0" fillId="0" borderId="1" xfId="0" applyNumberFormat="1" applyFill="1" applyBorder="1"/>
    <xf numFmtId="37" fontId="4" fillId="0" borderId="0" xfId="0" applyNumberFormat="1" applyFont="1" applyFill="1"/>
    <xf numFmtId="167" fontId="0" fillId="0" borderId="4" xfId="0" applyNumberFormat="1" applyFill="1" applyBorder="1"/>
    <xf numFmtId="0" fontId="1" fillId="0" borderId="0" xfId="0" applyFont="1" applyAlignment="1">
      <alignment horizontal="left"/>
    </xf>
    <xf numFmtId="41" fontId="0" fillId="0" borderId="1" xfId="0" applyNumberFormat="1" applyFill="1" applyBorder="1" applyAlignment="1"/>
    <xf numFmtId="6" fontId="0" fillId="0" borderId="3" xfId="0" applyNumberFormat="1" applyFill="1" applyBorder="1" applyAlignment="1"/>
    <xf numFmtId="167" fontId="0" fillId="0" borderId="3" xfId="0" applyNumberFormat="1" applyFill="1" applyBorder="1"/>
    <xf numFmtId="37" fontId="4" fillId="0" borderId="1" xfId="0" applyNumberFormat="1" applyFont="1" applyFill="1" applyBorder="1"/>
    <xf numFmtId="37" fontId="4" fillId="0" borderId="1" xfId="0" applyNumberFormat="1" applyFont="1" applyBorder="1"/>
    <xf numFmtId="0" fontId="10" fillId="0" borderId="0" xfId="0" applyFont="1"/>
    <xf numFmtId="1" fontId="10" fillId="0" borderId="0" xfId="0" applyNumberFormat="1" applyFont="1"/>
    <xf numFmtId="43" fontId="10" fillId="0" borderId="0" xfId="1" applyFont="1" applyFill="1"/>
    <xf numFmtId="0" fontId="10" fillId="0" borderId="0" xfId="0" applyFont="1" applyFill="1"/>
    <xf numFmtId="0" fontId="12" fillId="0" borderId="0" xfId="0" applyFont="1"/>
    <xf numFmtId="1" fontId="12" fillId="0" borderId="0" xfId="0" applyNumberFormat="1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1" fillId="0" borderId="0" xfId="0" applyFont="1"/>
    <xf numFmtId="0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1" fontId="10" fillId="0" borderId="0" xfId="0" applyNumberFormat="1" applyFont="1" applyAlignment="1">
      <alignment horizontal="right"/>
    </xf>
    <xf numFmtId="0" fontId="9" fillId="0" borderId="0" xfId="0" applyFont="1"/>
    <xf numFmtId="0" fontId="8" fillId="0" borderId="0" xfId="0" applyFont="1"/>
    <xf numFmtId="1" fontId="8" fillId="0" borderId="0" xfId="0" applyNumberFormat="1" applyFont="1"/>
    <xf numFmtId="5" fontId="8" fillId="0" borderId="0" xfId="0" applyNumberFormat="1" applyFont="1" applyFill="1"/>
    <xf numFmtId="3" fontId="8" fillId="0" borderId="0" xfId="0" applyNumberFormat="1" applyFont="1" applyFill="1"/>
    <xf numFmtId="37" fontId="8" fillId="0" borderId="1" xfId="0" applyNumberFormat="1" applyFont="1" applyFill="1" applyBorder="1"/>
    <xf numFmtId="37" fontId="8" fillId="0" borderId="0" xfId="0" applyNumberFormat="1" applyFont="1" applyFill="1" applyBorder="1"/>
    <xf numFmtId="5" fontId="8" fillId="0" borderId="0" xfId="0" applyNumberFormat="1" applyFont="1" applyFill="1" applyBorder="1"/>
    <xf numFmtId="0" fontId="8" fillId="0" borderId="0" xfId="0" applyFont="1" applyFill="1"/>
    <xf numFmtId="5" fontId="8" fillId="0" borderId="2" xfId="0" applyNumberFormat="1" applyFont="1" applyFill="1" applyBorder="1"/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65" fontId="8" fillId="0" borderId="0" xfId="0" applyNumberFormat="1" applyFont="1" applyFill="1"/>
    <xf numFmtId="167" fontId="8" fillId="0" borderId="0" xfId="0" applyNumberFormat="1" applyFont="1" applyFill="1"/>
    <xf numFmtId="37" fontId="8" fillId="0" borderId="0" xfId="0" applyNumberFormat="1" applyFont="1" applyFill="1"/>
    <xf numFmtId="3" fontId="8" fillId="0" borderId="1" xfId="0" applyNumberFormat="1" applyFont="1" applyFill="1" applyBorder="1"/>
    <xf numFmtId="0" fontId="9" fillId="0" borderId="0" xfId="0" applyFont="1" applyAlignment="1">
      <alignment horizontal="right"/>
    </xf>
    <xf numFmtId="10" fontId="8" fillId="0" borderId="0" xfId="0" applyNumberFormat="1" applyFont="1" applyFill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wrapText="1"/>
    </xf>
    <xf numFmtId="14" fontId="8" fillId="0" borderId="0" xfId="0" applyNumberFormat="1" applyFont="1" applyBorder="1" applyAlignment="1">
      <alignment horizontal="center" vertical="top" wrapText="1"/>
    </xf>
    <xf numFmtId="5" fontId="8" fillId="0" borderId="0" xfId="0" applyNumberFormat="1" applyFont="1" applyBorder="1" applyAlignment="1">
      <alignment vertical="top" wrapText="1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Alignment="1">
      <alignment vertical="top"/>
    </xf>
    <xf numFmtId="14" fontId="8" fillId="0" borderId="0" xfId="0" applyNumberFormat="1" applyFont="1" applyFill="1" applyBorder="1" applyAlignment="1">
      <alignment horizontal="center" vertical="top"/>
    </xf>
    <xf numFmtId="167" fontId="8" fillId="0" borderId="2" xfId="0" applyNumberFormat="1" applyFont="1" applyFill="1" applyBorder="1"/>
    <xf numFmtId="3" fontId="8" fillId="0" borderId="0" xfId="0" applyNumberFormat="1" applyFont="1" applyFill="1" applyBorder="1"/>
    <xf numFmtId="3" fontId="8" fillId="0" borderId="0" xfId="0" applyNumberFormat="1" applyFont="1"/>
    <xf numFmtId="3" fontId="9" fillId="0" borderId="1" xfId="0" applyNumberFormat="1" applyFont="1" applyBorder="1" applyAlignment="1">
      <alignment horizontal="center"/>
    </xf>
    <xf numFmtId="167" fontId="8" fillId="0" borderId="0" xfId="0" applyNumberFormat="1" applyFont="1"/>
    <xf numFmtId="3" fontId="8" fillId="0" borderId="0" xfId="0" applyNumberFormat="1" applyFont="1" applyBorder="1"/>
    <xf numFmtId="0" fontId="0" fillId="0" borderId="0" xfId="0" applyAlignment="1">
      <alignment horizontal="left" wrapText="1"/>
    </xf>
    <xf numFmtId="0" fontId="4" fillId="0" borderId="0" xfId="0" applyFont="1" applyFill="1" applyAlignment="1">
      <alignment horizontal="center"/>
    </xf>
    <xf numFmtId="6" fontId="0" fillId="0" borderId="0" xfId="0" applyNumberFormat="1" applyBorder="1"/>
    <xf numFmtId="49" fontId="0" fillId="0" borderId="0" xfId="0" applyNumberFormat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5" fontId="0" fillId="0" borderId="0" xfId="0" applyNumberFormat="1" applyFill="1" applyAlignment="1">
      <alignment horizontal="center"/>
    </xf>
    <xf numFmtId="5" fontId="0" fillId="0" borderId="0" xfId="0" applyNumberFormat="1" applyAlignment="1">
      <alignment horizontal="left"/>
    </xf>
    <xf numFmtId="0" fontId="11" fillId="0" borderId="0" xfId="0" applyFont="1" applyFill="1"/>
    <xf numFmtId="49" fontId="4" fillId="0" borderId="0" xfId="0" applyNumberFormat="1" applyFont="1" applyBorder="1"/>
    <xf numFmtId="6" fontId="4" fillId="0" borderId="0" xfId="0" applyNumberFormat="1" applyFont="1"/>
    <xf numFmtId="6" fontId="4" fillId="0" borderId="0" xfId="0" applyNumberFormat="1" applyFont="1" applyFill="1"/>
    <xf numFmtId="38" fontId="0" fillId="0" borderId="1" xfId="0" applyNumberFormat="1" applyBorder="1"/>
    <xf numFmtId="37" fontId="8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/>
    <xf numFmtId="1" fontId="8" fillId="0" borderId="0" xfId="0" applyNumberFormat="1" applyFont="1" applyAlignment="1">
      <alignment horizontal="center"/>
    </xf>
    <xf numFmtId="0" fontId="0" fillId="0" borderId="0" xfId="0" applyFont="1" applyFill="1"/>
    <xf numFmtId="0" fontId="8" fillId="0" borderId="0" xfId="0" applyFont="1" applyAlignment="1"/>
    <xf numFmtId="41" fontId="0" fillId="0" borderId="3" xfId="0" applyNumberFormat="1" applyFill="1" applyBorder="1"/>
    <xf numFmtId="43" fontId="0" fillId="0" borderId="0" xfId="1" applyFont="1"/>
    <xf numFmtId="167" fontId="1" fillId="0" borderId="0" xfId="0" applyNumberFormat="1" applyFont="1"/>
    <xf numFmtId="169" fontId="0" fillId="0" borderId="0" xfId="1" applyNumberFormat="1" applyFont="1"/>
    <xf numFmtId="169" fontId="0" fillId="0" borderId="0" xfId="0" applyNumberFormat="1"/>
    <xf numFmtId="0" fontId="9" fillId="0" borderId="1" xfId="0" applyFont="1" applyBorder="1" applyAlignment="1">
      <alignment horizontal="center"/>
    </xf>
    <xf numFmtId="169" fontId="8" fillId="0" borderId="5" xfId="1" applyNumberFormat="1" applyFont="1" applyFill="1" applyBorder="1"/>
    <xf numFmtId="9" fontId="8" fillId="0" borderId="0" xfId="10" applyFont="1" applyFill="1"/>
    <xf numFmtId="170" fontId="8" fillId="0" borderId="0" xfId="0" applyNumberFormat="1" applyFont="1" applyFill="1"/>
    <xf numFmtId="170" fontId="0" fillId="0" borderId="0" xfId="0" applyNumberFormat="1"/>
    <xf numFmtId="7" fontId="0" fillId="0" borderId="0" xfId="0" applyNumberFormat="1"/>
    <xf numFmtId="165" fontId="0" fillId="0" borderId="0" xfId="10" applyNumberFormat="1" applyFont="1"/>
    <xf numFmtId="49" fontId="8" fillId="0" borderId="0" xfId="0" quotePrefix="1" applyNumberFormat="1" applyFont="1" applyFill="1" applyAlignment="1">
      <alignment horizontal="left"/>
    </xf>
    <xf numFmtId="43" fontId="0" fillId="0" borderId="0" xfId="0" applyNumberFormat="1" applyAlignment="1">
      <alignment horizontal="left"/>
    </xf>
    <xf numFmtId="169" fontId="0" fillId="0" borderId="0" xfId="1" applyNumberFormat="1" applyFont="1" applyFill="1"/>
    <xf numFmtId="0" fontId="8" fillId="0" borderId="5" xfId="0" applyFont="1" applyBorder="1"/>
    <xf numFmtId="5" fontId="8" fillId="0" borderId="2" xfId="0" applyNumberFormat="1" applyFont="1" applyFill="1" applyBorder="1" applyAlignment="1">
      <alignment horizontal="right"/>
    </xf>
    <xf numFmtId="0" fontId="1" fillId="0" borderId="0" xfId="0" applyFont="1" applyFill="1"/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9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/>
    <xf numFmtId="167" fontId="8" fillId="0" borderId="0" xfId="0" applyNumberFormat="1" applyFont="1" applyFill="1" applyBorder="1"/>
    <xf numFmtId="41" fontId="3" fillId="0" borderId="0" xfId="0" applyNumberFormat="1" applyFont="1" applyFill="1" applyAlignment="1">
      <alignment horizontal="center"/>
    </xf>
    <xf numFmtId="41" fontId="4" fillId="0" borderId="4" xfId="0" applyNumberFormat="1" applyFont="1" applyFill="1" applyBorder="1"/>
    <xf numFmtId="43" fontId="0" fillId="0" borderId="0" xfId="1" applyFont="1" applyBorder="1"/>
    <xf numFmtId="43" fontId="0" fillId="0" borderId="0" xfId="1" applyFont="1" applyFill="1" applyBorder="1"/>
    <xf numFmtId="0" fontId="3" fillId="0" borderId="0" xfId="0" applyFont="1" applyFill="1" applyAlignment="1">
      <alignment horizontal="right" wrapText="1"/>
    </xf>
    <xf numFmtId="7" fontId="17" fillId="0" borderId="0" xfId="0" applyNumberFormat="1" applyFont="1" applyFill="1"/>
    <xf numFmtId="169" fontId="0" fillId="0" borderId="0" xfId="0" applyNumberFormat="1" applyFill="1"/>
    <xf numFmtId="165" fontId="8" fillId="0" borderId="1" xfId="0" applyNumberFormat="1" applyFont="1" applyFill="1" applyBorder="1"/>
    <xf numFmtId="0" fontId="1" fillId="0" borderId="0" xfId="0" applyFont="1" applyAlignment="1">
      <alignment horizontal="right"/>
    </xf>
    <xf numFmtId="0" fontId="3" fillId="0" borderId="0" xfId="0" applyFont="1" applyAlignment="1"/>
    <xf numFmtId="39" fontId="0" fillId="0" borderId="0" xfId="0" applyNumberFormat="1"/>
    <xf numFmtId="0" fontId="18" fillId="0" borderId="0" xfId="0" applyFont="1" applyAlignment="1">
      <alignment horizontal="center"/>
    </xf>
    <xf numFmtId="3" fontId="1" fillId="0" borderId="0" xfId="0" applyNumberFormat="1" applyFont="1" applyFill="1" applyBorder="1"/>
    <xf numFmtId="10" fontId="0" fillId="0" borderId="0" xfId="0" applyNumberFormat="1"/>
    <xf numFmtId="44" fontId="0" fillId="0" borderId="0" xfId="11" applyFont="1"/>
    <xf numFmtId="43" fontId="8" fillId="0" borderId="0" xfId="0" applyNumberFormat="1" applyFont="1" applyFill="1"/>
    <xf numFmtId="44" fontId="8" fillId="0" borderId="0" xfId="11" applyFont="1"/>
    <xf numFmtId="169" fontId="1" fillId="0" borderId="0" xfId="0" applyNumberFormat="1" applyFont="1" applyFill="1"/>
    <xf numFmtId="0" fontId="1" fillId="2" borderId="0" xfId="0" applyFont="1" applyFill="1"/>
    <xf numFmtId="169" fontId="1" fillId="0" borderId="0" xfId="1" applyNumberFormat="1" applyFont="1" applyFill="1"/>
    <xf numFmtId="43" fontId="0" fillId="0" borderId="1" xfId="1" applyFont="1" applyBorder="1"/>
    <xf numFmtId="0" fontId="20" fillId="0" borderId="0" xfId="0" applyFont="1"/>
    <xf numFmtId="0" fontId="3" fillId="0" borderId="0" xfId="0" applyFont="1" applyAlignment="1"/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3"/>
    </xf>
    <xf numFmtId="0" fontId="1" fillId="0" borderId="0" xfId="0" applyFont="1" applyAlignment="1">
      <alignment horizontal="left" indent="3"/>
    </xf>
    <xf numFmtId="0" fontId="1" fillId="0" borderId="0" xfId="0" applyFon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1"/>
    </xf>
    <xf numFmtId="0" fontId="1" fillId="0" borderId="0" xfId="0" applyFont="1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41" fontId="0" fillId="0" borderId="5" xfId="0" applyNumberFormat="1" applyBorder="1"/>
    <xf numFmtId="166" fontId="21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left" indent="1"/>
    </xf>
    <xf numFmtId="41" fontId="3" fillId="0" borderId="1" xfId="0" applyNumberFormat="1" applyFont="1" applyFill="1" applyBorder="1" applyAlignment="1">
      <alignment horizontal="center"/>
    </xf>
    <xf numFmtId="41" fontId="3" fillId="0" borderId="0" xfId="0" applyNumberFormat="1" applyFont="1" applyFill="1" applyBorder="1" applyAlignment="1">
      <alignment horizontal="center"/>
    </xf>
    <xf numFmtId="166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173" fontId="0" fillId="0" borderId="0" xfId="0" applyNumberFormat="1" applyFill="1"/>
    <xf numFmtId="7" fontId="0" fillId="0" borderId="2" xfId="0" applyNumberFormat="1" applyBorder="1"/>
    <xf numFmtId="41" fontId="0" fillId="0" borderId="2" xfId="0" applyNumberFormat="1" applyBorder="1"/>
    <xf numFmtId="43" fontId="3" fillId="0" borderId="0" xfId="0" applyNumberFormat="1" applyFont="1" applyFill="1" applyAlignment="1">
      <alignment horizontal="center"/>
    </xf>
    <xf numFmtId="43" fontId="0" fillId="0" borderId="0" xfId="1" applyFont="1" applyFill="1"/>
    <xf numFmtId="169" fontId="3" fillId="0" borderId="0" xfId="1" applyNumberFormat="1" applyFont="1" applyFill="1" applyAlignment="1">
      <alignment horizontal="center"/>
    </xf>
    <xf numFmtId="169" fontId="3" fillId="0" borderId="1" xfId="1" applyNumberFormat="1" applyFont="1" applyBorder="1" applyAlignment="1">
      <alignment horizontal="center"/>
    </xf>
    <xf numFmtId="169" fontId="0" fillId="0" borderId="1" xfId="1" applyNumberFormat="1" applyFont="1" applyFill="1" applyBorder="1"/>
    <xf numFmtId="169" fontId="0" fillId="0" borderId="4" xfId="1" applyNumberFormat="1" applyFont="1" applyFill="1" applyBorder="1"/>
    <xf numFmtId="169" fontId="4" fillId="0" borderId="0" xfId="1" applyNumberFormat="1" applyFont="1" applyFill="1"/>
    <xf numFmtId="169" fontId="0" fillId="0" borderId="0" xfId="1" applyNumberFormat="1" applyFont="1" applyFill="1" applyBorder="1"/>
    <xf numFmtId="169" fontId="0" fillId="0" borderId="5" xfId="1" applyNumberFormat="1" applyFont="1" applyBorder="1"/>
    <xf numFmtId="169" fontId="0" fillId="0" borderId="3" xfId="1" applyNumberFormat="1" applyFont="1" applyFill="1" applyBorder="1"/>
    <xf numFmtId="169" fontId="4" fillId="0" borderId="0" xfId="1" applyNumberFormat="1" applyFont="1" applyFill="1" applyBorder="1"/>
    <xf numFmtId="169" fontId="0" fillId="0" borderId="5" xfId="1" applyNumberFormat="1" applyFont="1" applyFill="1" applyBorder="1"/>
    <xf numFmtId="0" fontId="1" fillId="0" borderId="0" xfId="0" applyFont="1" applyFill="1" applyAlignment="1">
      <alignment horizontal="left"/>
    </xf>
    <xf numFmtId="41" fontId="0" fillId="0" borderId="5" xfId="0" applyNumberFormat="1" applyFill="1" applyBorder="1"/>
    <xf numFmtId="0" fontId="1" fillId="0" borderId="0" xfId="0" applyFont="1" applyFill="1" applyAlignment="1">
      <alignment horizontal="right"/>
    </xf>
    <xf numFmtId="165" fontId="0" fillId="0" borderId="0" xfId="10" applyNumberFormat="1" applyFont="1" applyAlignment="1">
      <alignment horizontal="left"/>
    </xf>
    <xf numFmtId="0" fontId="3" fillId="0" borderId="0" xfId="0" applyFont="1" applyAlignment="1"/>
    <xf numFmtId="174" fontId="8" fillId="0" borderId="0" xfId="0" applyNumberFormat="1" applyFont="1" applyFill="1"/>
    <xf numFmtId="174" fontId="8" fillId="0" borderId="1" xfId="0" applyNumberFormat="1" applyFont="1" applyFill="1" applyBorder="1"/>
    <xf numFmtId="0" fontId="18" fillId="0" borderId="0" xfId="0" applyFont="1" applyFill="1" applyAlignment="1">
      <alignment horizontal="center"/>
    </xf>
    <xf numFmtId="0" fontId="3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14" fontId="7" fillId="0" borderId="0" xfId="0" applyNumberFormat="1" applyFont="1" applyFill="1" applyAlignment="1">
      <alignment horizontal="center"/>
    </xf>
    <xf numFmtId="0" fontId="6" fillId="0" borderId="0" xfId="0" applyFont="1" applyFill="1" applyAlignment="1"/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Fill="1" applyAlignment="1">
      <alignment horizontal="left" wrapText="1"/>
    </xf>
  </cellXfs>
  <cellStyles count="12">
    <cellStyle name="Comma" xfId="1" builtinId="3"/>
    <cellStyle name="Currency" xfId="1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  <cellStyle name="Percent" xfId="10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193385</xdr:colOff>
      <xdr:row>435</xdr:row>
      <xdr:rowOff>116973</xdr:rowOff>
    </xdr:from>
    <xdr:ext cx="184730" cy="937629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 rot="19588349">
          <a:off x="3489035" y="77259948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5:T570"/>
  <sheetViews>
    <sheetView tabSelected="1" zoomScaleNormal="100" workbookViewId="0"/>
  </sheetViews>
  <sheetFormatPr defaultRowHeight="12.75" x14ac:dyDescent="0.2"/>
  <cols>
    <col min="1" max="1" width="9.28515625" customWidth="1"/>
    <col min="2" max="2" width="19.28515625" customWidth="1"/>
    <col min="4" max="4" width="11.7109375" customWidth="1"/>
    <col min="5" max="5" width="15.140625" customWidth="1"/>
    <col min="6" max="6" width="20.140625" customWidth="1"/>
    <col min="7" max="7" width="13" customWidth="1"/>
    <col min="8" max="8" width="15.28515625" style="119" customWidth="1"/>
    <col min="9" max="9" width="36.7109375" style="62" hidden="1" customWidth="1"/>
    <col min="10" max="10" width="17.42578125" style="62" hidden="1" customWidth="1"/>
    <col min="11" max="11" width="13.140625" hidden="1" customWidth="1"/>
    <col min="12" max="12" width="9.140625" hidden="1" customWidth="1"/>
    <col min="13" max="13" width="16.140625" hidden="1" customWidth="1"/>
    <col min="14" max="14" width="15" hidden="1" customWidth="1"/>
    <col min="15" max="15" width="14" hidden="1" customWidth="1"/>
    <col min="16" max="16" width="17.7109375" hidden="1" customWidth="1"/>
    <col min="17" max="17" width="15" hidden="1" customWidth="1"/>
    <col min="18" max="20" width="9.140625" hidden="1" customWidth="1"/>
    <col min="21" max="21" width="0" hidden="1" customWidth="1"/>
  </cols>
  <sheetData>
    <row r="15" spans="1:8" ht="18" x14ac:dyDescent="0.25">
      <c r="A15" s="295" t="s">
        <v>638</v>
      </c>
      <c r="B15" s="296"/>
      <c r="C15" s="296"/>
      <c r="D15" s="296"/>
      <c r="E15" s="296"/>
      <c r="F15" s="296"/>
      <c r="G15" s="296"/>
      <c r="H15" s="296"/>
    </row>
    <row r="16" spans="1:8" ht="18" x14ac:dyDescent="0.25">
      <c r="A16" s="107"/>
      <c r="B16" s="107"/>
      <c r="C16" s="108"/>
      <c r="D16" s="108"/>
      <c r="E16" s="108"/>
      <c r="F16" s="108"/>
      <c r="G16" s="107"/>
      <c r="H16" s="118"/>
    </row>
    <row r="17" spans="1:8" ht="18" x14ac:dyDescent="0.25">
      <c r="A17" s="295" t="s">
        <v>2343</v>
      </c>
      <c r="B17" s="296"/>
      <c r="C17" s="296"/>
      <c r="D17" s="296"/>
      <c r="E17" s="296"/>
      <c r="F17" s="296"/>
      <c r="G17" s="296"/>
      <c r="H17" s="296"/>
    </row>
    <row r="18" spans="1:8" ht="18" x14ac:dyDescent="0.25">
      <c r="A18" s="107"/>
      <c r="B18" s="107"/>
      <c r="C18" s="108"/>
      <c r="D18" s="106" t="s">
        <v>1410</v>
      </c>
      <c r="E18" s="108"/>
      <c r="F18" s="108"/>
      <c r="G18" s="107"/>
      <c r="H18" s="118"/>
    </row>
    <row r="19" spans="1:8" ht="18" x14ac:dyDescent="0.25">
      <c r="A19" s="295" t="s">
        <v>1820</v>
      </c>
      <c r="B19" s="296"/>
      <c r="C19" s="296"/>
      <c r="D19" s="296"/>
      <c r="E19" s="296"/>
      <c r="F19" s="296"/>
      <c r="G19" s="296"/>
      <c r="H19" s="296"/>
    </row>
    <row r="20" spans="1:8" ht="18" x14ac:dyDescent="0.25">
      <c r="A20" s="107"/>
      <c r="B20" s="107"/>
      <c r="C20" s="108"/>
      <c r="D20" s="108"/>
      <c r="E20" s="108"/>
      <c r="F20" s="108"/>
      <c r="G20" s="107"/>
      <c r="H20" s="118"/>
    </row>
    <row r="21" spans="1:8" ht="18" x14ac:dyDescent="0.25">
      <c r="A21" s="301"/>
      <c r="B21" s="302"/>
      <c r="C21" s="302"/>
      <c r="D21" s="302"/>
      <c r="E21" s="302"/>
      <c r="F21" s="302"/>
      <c r="G21" s="302"/>
      <c r="H21" s="302"/>
    </row>
    <row r="45" spans="2:2" x14ac:dyDescent="0.2">
      <c r="B45" t="s">
        <v>1411</v>
      </c>
    </row>
    <row r="66" spans="1:9" x14ac:dyDescent="0.2">
      <c r="B66" s="2" t="s">
        <v>1410</v>
      </c>
    </row>
    <row r="67" spans="1:9" ht="14.25" x14ac:dyDescent="0.2">
      <c r="A67" s="105"/>
      <c r="B67" s="218" t="s">
        <v>2344</v>
      </c>
      <c r="C67" s="139"/>
      <c r="D67" s="139"/>
      <c r="E67" s="139"/>
      <c r="F67" s="139"/>
      <c r="G67" s="139"/>
      <c r="H67" s="140"/>
    </row>
    <row r="68" spans="1:9" ht="14.25" x14ac:dyDescent="0.2">
      <c r="A68" s="105"/>
      <c r="B68" s="139"/>
      <c r="C68" s="139"/>
      <c r="D68" s="139"/>
      <c r="E68" s="139"/>
      <c r="F68" s="139"/>
      <c r="G68" s="139"/>
      <c r="H68" s="140"/>
    </row>
    <row r="69" spans="1:9" ht="14.25" x14ac:dyDescent="0.2">
      <c r="A69" s="105"/>
      <c r="B69" s="139" t="s">
        <v>1412</v>
      </c>
      <c r="C69" s="139"/>
      <c r="D69" s="139"/>
      <c r="E69" s="139"/>
      <c r="F69" s="139"/>
      <c r="G69" s="139"/>
      <c r="H69" s="140"/>
    </row>
    <row r="70" spans="1:9" ht="14.25" x14ac:dyDescent="0.2">
      <c r="A70" s="105"/>
      <c r="B70" s="139"/>
      <c r="C70" s="139"/>
      <c r="D70" s="139"/>
      <c r="E70" s="139"/>
      <c r="F70" s="139"/>
      <c r="G70" s="139"/>
      <c r="H70" s="140"/>
    </row>
    <row r="71" spans="1:9" ht="14.25" x14ac:dyDescent="0.2">
      <c r="A71" s="105"/>
      <c r="B71" s="154" t="s">
        <v>2345</v>
      </c>
      <c r="C71" s="139"/>
      <c r="D71" s="139"/>
      <c r="E71" s="139"/>
      <c r="F71" s="139"/>
      <c r="G71" s="139"/>
      <c r="H71" s="140"/>
    </row>
    <row r="72" spans="1:9" ht="14.25" x14ac:dyDescent="0.2">
      <c r="A72" s="105"/>
      <c r="B72" s="139"/>
      <c r="C72" s="139"/>
      <c r="D72" s="139"/>
      <c r="E72" s="139"/>
      <c r="F72" s="139"/>
      <c r="G72" s="139"/>
      <c r="H72" s="140"/>
    </row>
    <row r="73" spans="1:9" ht="14.25" x14ac:dyDescent="0.2">
      <c r="A73" s="105"/>
      <c r="B73" s="154" t="s">
        <v>1810</v>
      </c>
      <c r="C73" s="139"/>
      <c r="D73" s="139"/>
      <c r="E73" s="139"/>
      <c r="F73" s="139"/>
      <c r="G73" s="139"/>
      <c r="H73" s="140"/>
    </row>
    <row r="74" spans="1:9" ht="14.25" x14ac:dyDescent="0.2">
      <c r="A74" s="105"/>
      <c r="B74" s="154" t="s">
        <v>1811</v>
      </c>
      <c r="C74" s="139"/>
      <c r="D74" s="139"/>
      <c r="E74" s="139"/>
      <c r="F74" s="139"/>
      <c r="G74" s="139"/>
      <c r="H74" s="140"/>
    </row>
    <row r="75" spans="1:9" ht="14.25" x14ac:dyDescent="0.2">
      <c r="A75" s="105"/>
      <c r="B75" s="154" t="s">
        <v>1737</v>
      </c>
      <c r="C75" s="139"/>
      <c r="D75" s="139"/>
      <c r="E75" s="139"/>
      <c r="F75" s="139"/>
      <c r="G75" s="139"/>
      <c r="H75" s="140"/>
    </row>
    <row r="76" spans="1:9" ht="14.25" x14ac:dyDescent="0.2">
      <c r="A76" s="105"/>
      <c r="B76" s="141"/>
      <c r="C76" s="142"/>
      <c r="D76" s="142"/>
      <c r="E76" s="142"/>
      <c r="F76" s="142"/>
      <c r="G76" s="142"/>
      <c r="H76" s="140"/>
    </row>
    <row r="77" spans="1:9" ht="15" x14ac:dyDescent="0.25">
      <c r="A77" s="105"/>
      <c r="B77" s="161" t="s">
        <v>2346</v>
      </c>
      <c r="C77" s="142"/>
      <c r="D77" s="142"/>
      <c r="E77" s="142"/>
      <c r="F77" s="142"/>
      <c r="G77" s="142"/>
      <c r="H77" s="140"/>
    </row>
    <row r="78" spans="1:9" ht="14.25" x14ac:dyDescent="0.2">
      <c r="A78" s="105"/>
      <c r="B78" s="139"/>
      <c r="C78" s="139"/>
      <c r="D78" s="139"/>
      <c r="E78" s="139"/>
      <c r="F78" s="139"/>
      <c r="G78" s="139"/>
      <c r="H78" s="140"/>
    </row>
    <row r="79" spans="1:9" ht="14.25" x14ac:dyDescent="0.2">
      <c r="A79" s="105"/>
      <c r="B79" s="139" t="s">
        <v>635</v>
      </c>
      <c r="C79" s="139"/>
      <c r="D79" s="139"/>
      <c r="E79" s="139"/>
      <c r="F79" s="139"/>
      <c r="G79" s="139"/>
      <c r="H79" s="140"/>
    </row>
    <row r="80" spans="1:9" ht="15" x14ac:dyDescent="0.25">
      <c r="A80" s="105"/>
      <c r="B80" s="161" t="s">
        <v>2347</v>
      </c>
      <c r="C80" s="196"/>
      <c r="D80" s="142"/>
      <c r="E80" s="142"/>
      <c r="F80" s="139"/>
      <c r="G80" s="139"/>
      <c r="H80" s="140"/>
      <c r="I80" s="223"/>
    </row>
    <row r="81" spans="1:8" ht="14.25" x14ac:dyDescent="0.2">
      <c r="A81" s="143"/>
      <c r="B81" s="139"/>
      <c r="C81" s="139"/>
      <c r="D81" s="139"/>
      <c r="E81" s="139"/>
      <c r="F81" s="139"/>
      <c r="G81" s="139"/>
      <c r="H81" s="140"/>
    </row>
    <row r="82" spans="1:8" ht="14.25" x14ac:dyDescent="0.2">
      <c r="A82" s="143"/>
      <c r="B82" s="139"/>
      <c r="C82" s="139"/>
      <c r="D82" s="139"/>
      <c r="E82" s="139"/>
      <c r="F82" s="139"/>
      <c r="G82" s="139"/>
      <c r="H82" s="140"/>
    </row>
    <row r="83" spans="1:8" ht="14.25" x14ac:dyDescent="0.2">
      <c r="A83" s="143"/>
      <c r="B83" s="139" t="s">
        <v>636</v>
      </c>
      <c r="C83" s="139"/>
      <c r="D83" s="139"/>
      <c r="E83" s="139"/>
      <c r="F83" s="139"/>
      <c r="G83" s="139"/>
      <c r="H83" s="140"/>
    </row>
    <row r="84" spans="1:8" ht="14.25" x14ac:dyDescent="0.2">
      <c r="A84" s="143"/>
      <c r="B84" s="139"/>
      <c r="C84" s="139"/>
      <c r="D84" s="139"/>
      <c r="E84" s="139"/>
      <c r="F84" s="139"/>
      <c r="G84" s="139"/>
      <c r="H84" s="140"/>
    </row>
    <row r="85" spans="1:8" ht="14.25" x14ac:dyDescent="0.2">
      <c r="A85" s="143"/>
      <c r="B85" s="139"/>
      <c r="C85" s="139"/>
      <c r="D85" s="139"/>
      <c r="E85" s="139"/>
      <c r="F85" s="139"/>
      <c r="G85" s="139"/>
      <c r="H85" s="140"/>
    </row>
    <row r="86" spans="1:8" ht="14.25" x14ac:dyDescent="0.2">
      <c r="A86" s="143"/>
      <c r="B86" s="139"/>
      <c r="C86" s="139"/>
      <c r="D86" s="139"/>
      <c r="E86" s="139"/>
      <c r="F86" s="139"/>
      <c r="G86" s="139"/>
      <c r="H86" s="140"/>
    </row>
    <row r="87" spans="1:8" ht="14.25" x14ac:dyDescent="0.2">
      <c r="A87" s="143"/>
      <c r="B87" s="139" t="s">
        <v>637</v>
      </c>
      <c r="C87" s="139"/>
      <c r="D87" s="139"/>
      <c r="E87" s="139"/>
      <c r="F87" s="139"/>
      <c r="G87" s="139"/>
      <c r="H87" s="140"/>
    </row>
    <row r="88" spans="1:8" ht="14.25" x14ac:dyDescent="0.2">
      <c r="A88" s="143"/>
      <c r="B88" s="154" t="s">
        <v>1785</v>
      </c>
      <c r="C88" s="139"/>
      <c r="D88" s="139"/>
      <c r="E88" s="139"/>
      <c r="F88" s="139"/>
      <c r="G88" s="139"/>
      <c r="H88" s="140"/>
    </row>
    <row r="89" spans="1:8" ht="14.25" x14ac:dyDescent="0.2">
      <c r="A89" s="143"/>
      <c r="B89" s="139"/>
      <c r="C89" s="139"/>
      <c r="D89" s="139"/>
      <c r="E89" s="139"/>
      <c r="F89" s="139"/>
      <c r="G89" s="139"/>
      <c r="H89" s="140"/>
    </row>
    <row r="90" spans="1:8" ht="14.25" x14ac:dyDescent="0.2">
      <c r="A90" s="143"/>
      <c r="B90" s="139"/>
      <c r="C90" s="139"/>
      <c r="D90" s="139"/>
      <c r="E90" s="139"/>
      <c r="F90" s="139"/>
      <c r="G90" s="139"/>
      <c r="H90" s="140"/>
    </row>
    <row r="91" spans="1:8" ht="14.25" x14ac:dyDescent="0.2">
      <c r="A91" s="143"/>
      <c r="B91" s="139" t="s">
        <v>637</v>
      </c>
      <c r="C91" s="139"/>
      <c r="D91" s="139"/>
      <c r="E91" s="139"/>
      <c r="F91" s="139"/>
      <c r="G91" s="139"/>
      <c r="H91" s="140"/>
    </row>
    <row r="92" spans="1:8" ht="14.25" x14ac:dyDescent="0.2">
      <c r="A92" s="143"/>
      <c r="B92" s="154" t="s">
        <v>1728</v>
      </c>
      <c r="C92" s="139"/>
      <c r="D92" s="139"/>
      <c r="E92" s="139"/>
      <c r="F92" s="139"/>
      <c r="G92" s="139"/>
      <c r="H92" s="140"/>
    </row>
    <row r="93" spans="1:8" ht="14.25" x14ac:dyDescent="0.2">
      <c r="A93" s="143"/>
      <c r="B93" s="139"/>
      <c r="C93" s="139"/>
      <c r="D93" s="139"/>
      <c r="E93" s="139"/>
      <c r="F93" s="139"/>
      <c r="G93" s="139"/>
      <c r="H93" s="140"/>
    </row>
    <row r="94" spans="1:8" ht="14.25" x14ac:dyDescent="0.2">
      <c r="A94" s="143"/>
      <c r="B94" s="139"/>
      <c r="C94" s="139"/>
      <c r="D94" s="139"/>
      <c r="E94" s="139"/>
      <c r="F94" s="139"/>
      <c r="G94" s="139"/>
      <c r="H94" s="140"/>
    </row>
    <row r="95" spans="1:8" ht="14.25" x14ac:dyDescent="0.2">
      <c r="A95" s="143"/>
      <c r="B95" s="139" t="s">
        <v>637</v>
      </c>
      <c r="C95" s="139"/>
      <c r="D95" s="139"/>
      <c r="E95" s="139"/>
      <c r="F95" s="139"/>
      <c r="G95" s="139"/>
      <c r="H95" s="140"/>
    </row>
    <row r="96" spans="1:8" ht="14.25" x14ac:dyDescent="0.2">
      <c r="A96" s="143"/>
      <c r="B96" s="154" t="s">
        <v>2301</v>
      </c>
      <c r="C96" s="139"/>
      <c r="D96" s="139"/>
      <c r="E96" s="139"/>
      <c r="F96" s="139"/>
      <c r="G96" s="139"/>
      <c r="H96" s="140"/>
    </row>
    <row r="97" spans="1:8" ht="14.25" x14ac:dyDescent="0.2">
      <c r="A97" s="143"/>
      <c r="B97" s="139"/>
      <c r="C97" s="139"/>
      <c r="D97" s="139"/>
      <c r="E97" s="139"/>
      <c r="F97" s="143"/>
      <c r="G97" s="143"/>
      <c r="H97" s="144"/>
    </row>
    <row r="98" spans="1:8" x14ac:dyDescent="0.2">
      <c r="A98" s="143"/>
      <c r="B98" s="143"/>
      <c r="C98" s="143"/>
      <c r="D98" s="143"/>
      <c r="E98" s="143"/>
      <c r="F98" s="143"/>
      <c r="G98" s="143"/>
      <c r="H98" s="144"/>
    </row>
    <row r="99" spans="1:8" x14ac:dyDescent="0.2">
      <c r="A99" s="143"/>
      <c r="B99" s="143"/>
      <c r="C99" s="143"/>
      <c r="D99" s="143"/>
      <c r="E99" s="143"/>
      <c r="F99" s="143"/>
      <c r="G99" s="143"/>
      <c r="H99" s="144"/>
    </row>
    <row r="104" spans="1:8" ht="15" x14ac:dyDescent="0.25">
      <c r="A104" s="139"/>
      <c r="B104" s="139"/>
      <c r="C104" s="139"/>
      <c r="D104" s="139"/>
      <c r="E104" s="145" t="s">
        <v>638</v>
      </c>
      <c r="F104" s="139"/>
      <c r="G104" s="139"/>
    </row>
    <row r="105" spans="1:8" ht="15" x14ac:dyDescent="0.25">
      <c r="A105" s="139"/>
      <c r="B105" s="139"/>
      <c r="C105" s="139"/>
      <c r="D105" s="139"/>
      <c r="E105" s="163" t="s">
        <v>1821</v>
      </c>
      <c r="F105" s="139"/>
      <c r="G105" s="139"/>
    </row>
    <row r="106" spans="1:8" ht="15" x14ac:dyDescent="0.25">
      <c r="A106" s="139"/>
      <c r="B106" s="139"/>
      <c r="C106" s="139"/>
      <c r="D106" s="139"/>
      <c r="E106" s="145"/>
      <c r="F106" s="139"/>
      <c r="G106" s="139"/>
    </row>
    <row r="107" spans="1:8" ht="14.25" x14ac:dyDescent="0.2">
      <c r="A107" s="139"/>
      <c r="B107" s="139"/>
      <c r="C107" s="139"/>
      <c r="D107" s="139"/>
      <c r="E107" s="139"/>
      <c r="F107" s="139"/>
      <c r="G107" s="139"/>
    </row>
    <row r="108" spans="1:8" ht="15" x14ac:dyDescent="0.25">
      <c r="A108" s="139"/>
      <c r="B108" s="139"/>
      <c r="C108" s="139"/>
      <c r="D108" s="139"/>
      <c r="E108" s="146" t="s">
        <v>639</v>
      </c>
      <c r="F108" s="139"/>
      <c r="G108" s="139"/>
    </row>
    <row r="109" spans="1:8" ht="14.25" x14ac:dyDescent="0.2">
      <c r="A109" s="139"/>
      <c r="B109" s="139"/>
      <c r="C109" s="139"/>
      <c r="D109" s="139"/>
      <c r="E109" s="139"/>
      <c r="F109" s="139"/>
      <c r="G109" s="139"/>
    </row>
    <row r="110" spans="1:8" ht="14.25" x14ac:dyDescent="0.2">
      <c r="A110" s="139"/>
      <c r="B110" s="139"/>
      <c r="C110" s="139"/>
      <c r="D110" s="139"/>
      <c r="E110" s="139"/>
      <c r="F110" s="139"/>
      <c r="G110" s="139"/>
    </row>
    <row r="111" spans="1:8" ht="14.25" x14ac:dyDescent="0.2">
      <c r="A111" s="139" t="s">
        <v>640</v>
      </c>
      <c r="B111" s="139"/>
      <c r="C111" s="139"/>
      <c r="D111" s="139"/>
      <c r="E111" s="139"/>
      <c r="F111" s="154" t="s">
        <v>1786</v>
      </c>
      <c r="G111" s="139"/>
    </row>
    <row r="112" spans="1:8" ht="14.25" x14ac:dyDescent="0.2">
      <c r="A112" s="139"/>
      <c r="B112" s="139"/>
      <c r="C112" s="139"/>
      <c r="D112" s="139"/>
      <c r="E112" s="139"/>
      <c r="F112" s="139"/>
      <c r="G112" s="139"/>
    </row>
    <row r="113" spans="1:7" ht="14.25" x14ac:dyDescent="0.2">
      <c r="A113" s="139" t="s">
        <v>641</v>
      </c>
      <c r="B113" s="139"/>
      <c r="C113" s="139"/>
      <c r="D113" s="139"/>
      <c r="E113" s="139"/>
      <c r="F113" s="139" t="s">
        <v>214</v>
      </c>
      <c r="G113" s="139"/>
    </row>
    <row r="114" spans="1:7" ht="14.25" x14ac:dyDescent="0.2">
      <c r="A114" s="139"/>
      <c r="B114" s="139"/>
      <c r="C114" s="139"/>
      <c r="D114" s="139"/>
      <c r="E114" s="139"/>
      <c r="F114" s="139"/>
      <c r="G114" s="139"/>
    </row>
    <row r="115" spans="1:7" ht="14.25" x14ac:dyDescent="0.2">
      <c r="A115" s="139" t="s">
        <v>642</v>
      </c>
      <c r="B115" s="139"/>
      <c r="C115" s="139"/>
      <c r="D115" s="139"/>
      <c r="E115" s="139"/>
      <c r="F115" s="154" t="s">
        <v>1637</v>
      </c>
      <c r="G115" s="139"/>
    </row>
    <row r="116" spans="1:7" ht="14.25" x14ac:dyDescent="0.2">
      <c r="A116" s="139"/>
      <c r="B116" s="139"/>
      <c r="C116" s="139"/>
      <c r="D116" s="139"/>
      <c r="E116" s="139"/>
      <c r="F116" s="139"/>
      <c r="G116" s="139"/>
    </row>
    <row r="117" spans="1:7" ht="14.25" x14ac:dyDescent="0.2">
      <c r="A117" s="139" t="s">
        <v>643</v>
      </c>
      <c r="B117" s="139"/>
      <c r="C117" s="139"/>
      <c r="D117" s="139"/>
      <c r="E117" s="139"/>
      <c r="F117" s="154" t="s">
        <v>97</v>
      </c>
      <c r="G117" s="139"/>
    </row>
    <row r="118" spans="1:7" ht="14.25" x14ac:dyDescent="0.2">
      <c r="A118" s="139"/>
      <c r="B118" s="139"/>
      <c r="C118" s="139"/>
      <c r="D118" s="139"/>
      <c r="E118" s="139"/>
      <c r="F118" s="139"/>
      <c r="G118" s="139"/>
    </row>
    <row r="119" spans="1:7" ht="14.25" x14ac:dyDescent="0.2">
      <c r="A119" s="139" t="s">
        <v>644</v>
      </c>
      <c r="B119" s="139"/>
      <c r="C119" s="139"/>
      <c r="D119" s="139"/>
      <c r="E119" s="139"/>
      <c r="F119" s="154" t="s">
        <v>1638</v>
      </c>
      <c r="G119" s="139"/>
    </row>
    <row r="120" spans="1:7" ht="14.25" x14ac:dyDescent="0.2">
      <c r="A120" s="139"/>
      <c r="B120" s="139"/>
      <c r="C120" s="139"/>
      <c r="D120" s="139"/>
      <c r="E120" s="139"/>
      <c r="F120" s="139"/>
      <c r="G120" s="139"/>
    </row>
    <row r="121" spans="1:7" ht="14.25" x14ac:dyDescent="0.2">
      <c r="A121" s="139" t="s">
        <v>645</v>
      </c>
      <c r="B121" s="139"/>
      <c r="C121" s="139"/>
      <c r="D121" s="139"/>
      <c r="E121" s="139"/>
      <c r="F121" s="154" t="s">
        <v>2302</v>
      </c>
      <c r="G121" s="139"/>
    </row>
    <row r="122" spans="1:7" ht="14.25" x14ac:dyDescent="0.2">
      <c r="A122" s="139"/>
      <c r="B122" s="139"/>
      <c r="C122" s="139"/>
      <c r="D122" s="139"/>
      <c r="E122" s="139"/>
      <c r="F122" s="139"/>
      <c r="G122" s="139"/>
    </row>
    <row r="123" spans="1:7" ht="14.25" x14ac:dyDescent="0.2">
      <c r="A123" s="139" t="s">
        <v>646</v>
      </c>
      <c r="B123" s="139"/>
      <c r="C123" s="139"/>
      <c r="D123" s="139"/>
      <c r="E123" s="139"/>
      <c r="F123" s="154" t="s">
        <v>1639</v>
      </c>
      <c r="G123" s="139"/>
    </row>
    <row r="124" spans="1:7" ht="14.25" x14ac:dyDescent="0.2">
      <c r="A124" s="139"/>
      <c r="B124" s="139"/>
      <c r="C124" s="139"/>
      <c r="D124" s="139"/>
      <c r="E124" s="139"/>
      <c r="F124" s="139"/>
      <c r="G124" s="139"/>
    </row>
    <row r="125" spans="1:7" ht="14.25" x14ac:dyDescent="0.2">
      <c r="A125" s="139" t="s">
        <v>647</v>
      </c>
      <c r="B125" s="139"/>
      <c r="C125" s="139"/>
      <c r="D125" s="139"/>
      <c r="E125" s="139"/>
      <c r="F125" s="139" t="s">
        <v>215</v>
      </c>
      <c r="G125" s="139"/>
    </row>
    <row r="126" spans="1:7" ht="14.25" x14ac:dyDescent="0.2">
      <c r="A126" s="139"/>
      <c r="B126" s="139"/>
      <c r="C126" s="139"/>
      <c r="D126" s="139"/>
      <c r="E126" s="139"/>
      <c r="F126" s="139"/>
      <c r="G126" s="139"/>
    </row>
    <row r="127" spans="1:7" ht="14.25" x14ac:dyDescent="0.2">
      <c r="A127" s="139" t="s">
        <v>648</v>
      </c>
      <c r="B127" s="139"/>
      <c r="C127" s="139"/>
      <c r="D127" s="139"/>
      <c r="E127" s="139"/>
      <c r="F127" s="154" t="s">
        <v>1640</v>
      </c>
      <c r="G127" s="139"/>
    </row>
    <row r="128" spans="1:7" ht="14.25" x14ac:dyDescent="0.2">
      <c r="A128" s="139"/>
      <c r="B128" s="139"/>
      <c r="C128" s="139"/>
      <c r="D128" s="139"/>
      <c r="E128" s="139"/>
      <c r="F128" s="139"/>
      <c r="G128" s="139"/>
    </row>
    <row r="129" spans="1:7" ht="14.25" x14ac:dyDescent="0.2">
      <c r="A129" s="139" t="s">
        <v>649</v>
      </c>
      <c r="B129" s="139"/>
      <c r="C129" s="139"/>
      <c r="D129" s="139"/>
      <c r="E129" s="139"/>
      <c r="F129" s="154" t="s">
        <v>1787</v>
      </c>
      <c r="G129" s="139"/>
    </row>
    <row r="130" spans="1:7" ht="14.25" x14ac:dyDescent="0.2">
      <c r="A130" s="139"/>
      <c r="B130" s="139"/>
      <c r="C130" s="139"/>
      <c r="D130" s="139"/>
      <c r="E130" s="139"/>
      <c r="F130" s="139"/>
      <c r="G130" s="139"/>
    </row>
    <row r="131" spans="1:7" ht="14.25" x14ac:dyDescent="0.2">
      <c r="A131" s="139" t="s">
        <v>650</v>
      </c>
      <c r="B131" s="139"/>
      <c r="C131" s="139"/>
      <c r="D131" s="139"/>
      <c r="E131" s="139"/>
      <c r="F131" s="154" t="s">
        <v>1822</v>
      </c>
      <c r="G131" s="139"/>
    </row>
    <row r="132" spans="1:7" ht="14.25" x14ac:dyDescent="0.2">
      <c r="A132" s="139"/>
      <c r="B132" s="139"/>
      <c r="C132" s="139"/>
      <c r="D132" s="139"/>
      <c r="E132" s="139"/>
      <c r="F132" s="139"/>
      <c r="G132" s="139"/>
    </row>
    <row r="133" spans="1:7" ht="14.25" x14ac:dyDescent="0.2">
      <c r="A133" s="139" t="s">
        <v>651</v>
      </c>
      <c r="B133" s="139"/>
      <c r="C133" s="139"/>
      <c r="D133" s="139"/>
      <c r="E133" s="139"/>
      <c r="F133" s="154" t="s">
        <v>1635</v>
      </c>
      <c r="G133" s="139"/>
    </row>
    <row r="134" spans="1:7" ht="14.25" x14ac:dyDescent="0.2">
      <c r="A134" s="139"/>
      <c r="B134" s="139"/>
      <c r="C134" s="139"/>
      <c r="D134" s="139"/>
      <c r="E134" s="139"/>
      <c r="F134" s="139"/>
      <c r="G134" s="139"/>
    </row>
    <row r="135" spans="1:7" ht="14.25" x14ac:dyDescent="0.2">
      <c r="A135" s="139" t="s">
        <v>652</v>
      </c>
      <c r="B135" s="139"/>
      <c r="C135" s="139"/>
      <c r="D135" s="139"/>
      <c r="E135" s="139"/>
      <c r="F135" s="139" t="s">
        <v>653</v>
      </c>
      <c r="G135" s="139"/>
    </row>
    <row r="136" spans="1:7" ht="14.25" x14ac:dyDescent="0.2">
      <c r="A136" s="139"/>
      <c r="B136" s="139"/>
      <c r="C136" s="139"/>
      <c r="D136" s="139"/>
      <c r="E136" s="139"/>
      <c r="F136" s="139"/>
      <c r="G136" s="139"/>
    </row>
    <row r="137" spans="1:7" ht="14.25" x14ac:dyDescent="0.2">
      <c r="A137" s="139" t="s">
        <v>89</v>
      </c>
      <c r="B137" s="139"/>
      <c r="C137" s="139"/>
      <c r="D137" s="139"/>
      <c r="E137" s="139"/>
      <c r="F137" s="139" t="s">
        <v>90</v>
      </c>
      <c r="G137" s="139"/>
    </row>
    <row r="138" spans="1:7" ht="14.25" x14ac:dyDescent="0.2">
      <c r="A138" s="139"/>
      <c r="B138" s="139"/>
      <c r="C138" s="139"/>
      <c r="D138" s="139"/>
      <c r="E138" s="139"/>
      <c r="F138" s="139"/>
      <c r="G138" s="139"/>
    </row>
    <row r="139" spans="1:7" ht="14.25" x14ac:dyDescent="0.2">
      <c r="A139" s="139" t="s">
        <v>91</v>
      </c>
      <c r="B139" s="139"/>
      <c r="C139" s="139"/>
      <c r="D139" s="139"/>
      <c r="E139" s="139"/>
      <c r="F139" s="154" t="s">
        <v>1788</v>
      </c>
      <c r="G139" s="139"/>
    </row>
    <row r="140" spans="1:7" ht="14.25" x14ac:dyDescent="0.2">
      <c r="A140" s="139"/>
      <c r="B140" s="139"/>
      <c r="C140" s="139"/>
      <c r="D140" s="139"/>
      <c r="E140" s="139"/>
      <c r="F140" s="139"/>
      <c r="G140" s="139"/>
    </row>
    <row r="141" spans="1:7" ht="14.25" x14ac:dyDescent="0.2">
      <c r="A141" s="139" t="s">
        <v>92</v>
      </c>
      <c r="B141" s="139"/>
      <c r="C141" s="139"/>
      <c r="D141" s="139"/>
      <c r="E141" s="139"/>
      <c r="F141" s="154" t="s">
        <v>1641</v>
      </c>
      <c r="G141" s="139"/>
    </row>
    <row r="142" spans="1:7" ht="14.25" x14ac:dyDescent="0.2">
      <c r="A142" s="139"/>
      <c r="B142" s="139"/>
      <c r="C142" s="139"/>
      <c r="D142" s="139"/>
      <c r="E142" s="139"/>
      <c r="F142" s="139"/>
      <c r="G142" s="139"/>
    </row>
    <row r="143" spans="1:7" ht="14.25" x14ac:dyDescent="0.2">
      <c r="A143" s="139" t="s">
        <v>93</v>
      </c>
      <c r="B143" s="139"/>
      <c r="C143" s="139"/>
      <c r="D143" s="139"/>
      <c r="E143" s="139"/>
      <c r="F143" s="154" t="s">
        <v>1718</v>
      </c>
      <c r="G143" s="139"/>
    </row>
    <row r="144" spans="1:7" ht="14.25" x14ac:dyDescent="0.2">
      <c r="A144" s="139"/>
      <c r="B144" s="139"/>
      <c r="C144" s="139"/>
      <c r="D144" s="139"/>
      <c r="E144" s="139"/>
      <c r="F144" s="139"/>
      <c r="G144" s="139"/>
    </row>
    <row r="145" spans="1:8" ht="14.25" x14ac:dyDescent="0.2">
      <c r="A145" s="139" t="s">
        <v>94</v>
      </c>
      <c r="B145" s="139"/>
      <c r="C145" s="139"/>
      <c r="D145" s="139"/>
      <c r="E145" s="139"/>
      <c r="F145" s="139" t="s">
        <v>95</v>
      </c>
      <c r="G145" s="139"/>
    </row>
    <row r="146" spans="1:8" ht="14.25" x14ac:dyDescent="0.2">
      <c r="A146" s="139"/>
      <c r="B146" s="139"/>
      <c r="C146" s="139"/>
      <c r="D146" s="139"/>
      <c r="E146" s="139"/>
      <c r="F146" s="139"/>
      <c r="G146" s="139"/>
    </row>
    <row r="147" spans="1:8" ht="14.25" x14ac:dyDescent="0.2">
      <c r="A147" s="139" t="s">
        <v>96</v>
      </c>
      <c r="B147" s="139"/>
      <c r="C147" s="139"/>
      <c r="D147" s="139"/>
      <c r="E147" s="139"/>
      <c r="F147" s="154" t="s">
        <v>1719</v>
      </c>
      <c r="G147" s="139"/>
    </row>
    <row r="148" spans="1:8" ht="14.25" x14ac:dyDescent="0.2">
      <c r="A148" s="139"/>
      <c r="B148" s="139"/>
      <c r="C148" s="139"/>
      <c r="D148" s="139"/>
      <c r="E148" s="139"/>
      <c r="F148" s="139"/>
      <c r="G148" s="139"/>
    </row>
    <row r="149" spans="1:8" ht="14.25" x14ac:dyDescent="0.2">
      <c r="A149" s="139" t="s">
        <v>98</v>
      </c>
      <c r="B149" s="139"/>
      <c r="C149" s="139"/>
      <c r="D149" s="139"/>
      <c r="E149" s="139"/>
      <c r="F149" s="154" t="s">
        <v>1720</v>
      </c>
      <c r="G149" s="139"/>
    </row>
    <row r="150" spans="1:8" ht="14.25" x14ac:dyDescent="0.2">
      <c r="A150" s="139"/>
      <c r="B150" s="139"/>
      <c r="C150" s="139"/>
      <c r="D150" s="139"/>
      <c r="E150" s="139"/>
      <c r="F150" s="139"/>
      <c r="G150" s="139"/>
    </row>
    <row r="151" spans="1:8" ht="14.25" x14ac:dyDescent="0.2">
      <c r="A151" s="139" t="s">
        <v>99</v>
      </c>
      <c r="B151" s="139"/>
      <c r="C151" s="139"/>
      <c r="D151" s="139"/>
      <c r="E151" s="139"/>
      <c r="F151" s="139" t="s">
        <v>100</v>
      </c>
      <c r="G151" s="139"/>
    </row>
    <row r="152" spans="1:8" ht="14.25" x14ac:dyDescent="0.2">
      <c r="A152" s="139"/>
      <c r="B152" s="139"/>
      <c r="C152" s="139"/>
      <c r="D152" s="139"/>
      <c r="E152" s="139"/>
      <c r="F152" s="139"/>
      <c r="G152" s="139"/>
    </row>
    <row r="156" spans="1:8" ht="15" x14ac:dyDescent="0.25">
      <c r="A156" s="139"/>
      <c r="B156" s="139"/>
      <c r="C156" s="139"/>
      <c r="D156" s="139"/>
      <c r="E156" s="145" t="s">
        <v>638</v>
      </c>
      <c r="F156" s="139"/>
      <c r="G156" s="139"/>
      <c r="H156" s="140"/>
    </row>
    <row r="157" spans="1:8" ht="15" x14ac:dyDescent="0.25">
      <c r="A157" s="139"/>
      <c r="B157" s="139"/>
      <c r="C157" s="139"/>
      <c r="D157" s="139"/>
      <c r="E157" s="163" t="str">
        <f>+E105</f>
        <v>2020-2021 BUDGET</v>
      </c>
      <c r="F157" s="139"/>
      <c r="G157" s="139"/>
      <c r="H157" s="140"/>
    </row>
    <row r="158" spans="1:8" ht="15" x14ac:dyDescent="0.25">
      <c r="A158" s="139"/>
      <c r="B158" s="139"/>
      <c r="C158" s="139"/>
      <c r="D158" s="139"/>
      <c r="E158" s="145" t="s">
        <v>101</v>
      </c>
      <c r="F158" s="139"/>
      <c r="G158" s="139"/>
      <c r="H158" s="140"/>
    </row>
    <row r="159" spans="1:8" ht="14.25" x14ac:dyDescent="0.2">
      <c r="A159" s="139"/>
      <c r="B159" s="139"/>
      <c r="C159" s="139"/>
      <c r="D159" s="139"/>
      <c r="E159" s="139"/>
      <c r="F159" s="139"/>
      <c r="G159" s="139"/>
      <c r="H159" s="140"/>
    </row>
    <row r="160" spans="1:8" ht="14.25" x14ac:dyDescent="0.2">
      <c r="A160" s="139"/>
      <c r="B160" s="139"/>
      <c r="C160" s="139"/>
      <c r="D160" s="139"/>
      <c r="E160" s="139"/>
      <c r="F160" s="139"/>
      <c r="G160" s="139"/>
      <c r="H160" s="140"/>
    </row>
    <row r="161" spans="1:8" ht="14.25" x14ac:dyDescent="0.2">
      <c r="A161" s="154" t="s">
        <v>1825</v>
      </c>
      <c r="B161" s="139"/>
      <c r="C161" s="139"/>
      <c r="D161" s="139"/>
      <c r="E161" s="139"/>
      <c r="F161" s="139"/>
      <c r="G161" s="139"/>
      <c r="H161" s="147" t="s">
        <v>597</v>
      </c>
    </row>
    <row r="162" spans="1:8" ht="14.25" x14ac:dyDescent="0.2">
      <c r="A162" s="139"/>
      <c r="B162" s="139"/>
      <c r="C162" s="139"/>
      <c r="D162" s="139"/>
      <c r="E162" s="139"/>
      <c r="F162" s="139"/>
      <c r="G162" s="139"/>
      <c r="H162" s="147"/>
    </row>
    <row r="163" spans="1:8" ht="14.25" x14ac:dyDescent="0.2">
      <c r="A163" s="161" t="s">
        <v>2303</v>
      </c>
      <c r="B163" s="142"/>
      <c r="C163" s="142"/>
      <c r="D163" s="142"/>
      <c r="E163" s="139"/>
      <c r="F163" s="139"/>
      <c r="G163" s="139"/>
      <c r="H163" s="147" t="s">
        <v>102</v>
      </c>
    </row>
    <row r="164" spans="1:8" ht="14.25" x14ac:dyDescent="0.2">
      <c r="A164" s="139"/>
      <c r="B164" s="139"/>
      <c r="C164" s="139"/>
      <c r="D164" s="139"/>
      <c r="E164" s="139"/>
      <c r="F164" s="139"/>
      <c r="G164" s="139"/>
      <c r="H164" s="147"/>
    </row>
    <row r="165" spans="1:8" ht="14.25" x14ac:dyDescent="0.2">
      <c r="A165" s="139" t="s">
        <v>104</v>
      </c>
      <c r="B165" s="139"/>
      <c r="C165" s="139"/>
      <c r="D165" s="139"/>
      <c r="E165" s="139"/>
      <c r="F165" s="139"/>
      <c r="G165" s="139"/>
      <c r="H165" s="147" t="s">
        <v>103</v>
      </c>
    </row>
    <row r="166" spans="1:8" ht="14.25" x14ac:dyDescent="0.2">
      <c r="A166" s="139"/>
      <c r="B166" s="139"/>
      <c r="C166" s="139"/>
      <c r="D166" s="139"/>
      <c r="E166" s="139"/>
      <c r="F166" s="139"/>
      <c r="G166" s="139"/>
      <c r="H166" s="147"/>
    </row>
    <row r="167" spans="1:8" ht="14.25" x14ac:dyDescent="0.2">
      <c r="A167" s="154" t="s">
        <v>1823</v>
      </c>
      <c r="B167" s="139"/>
      <c r="C167" s="139"/>
      <c r="D167" s="139"/>
      <c r="E167" s="139"/>
      <c r="F167" s="139"/>
      <c r="G167" s="139"/>
      <c r="H167" s="147" t="s">
        <v>103</v>
      </c>
    </row>
    <row r="168" spans="1:8" ht="14.25" x14ac:dyDescent="0.2">
      <c r="A168" s="139"/>
      <c r="B168" s="139"/>
      <c r="C168" s="139"/>
      <c r="D168" s="139"/>
      <c r="E168" s="139"/>
      <c r="F168" s="139"/>
      <c r="G168" s="139"/>
      <c r="H168" s="147"/>
    </row>
    <row r="169" spans="1:8" ht="14.25" x14ac:dyDescent="0.2">
      <c r="A169" s="154" t="s">
        <v>1824</v>
      </c>
      <c r="B169" s="139"/>
      <c r="C169" s="139"/>
      <c r="D169" s="139"/>
      <c r="E169" s="139"/>
      <c r="F169" s="139"/>
      <c r="G169" s="139"/>
      <c r="H169" s="203" t="s">
        <v>1739</v>
      </c>
    </row>
    <row r="170" spans="1:8" ht="14.25" x14ac:dyDescent="0.2">
      <c r="A170" s="139"/>
      <c r="B170" s="139"/>
      <c r="C170" s="139"/>
      <c r="D170" s="139"/>
      <c r="E170" s="139"/>
      <c r="F170" s="139"/>
      <c r="G170" s="139"/>
      <c r="H170" s="147"/>
    </row>
    <row r="171" spans="1:8" ht="15" x14ac:dyDescent="0.25">
      <c r="A171" s="148" t="s">
        <v>105</v>
      </c>
      <c r="B171" s="139"/>
      <c r="C171" s="139"/>
      <c r="D171" s="139"/>
      <c r="E171" s="139"/>
      <c r="F171" s="139"/>
      <c r="G171" s="139"/>
      <c r="H171" s="147"/>
    </row>
    <row r="172" spans="1:8" ht="14.25" x14ac:dyDescent="0.2">
      <c r="A172" s="139"/>
      <c r="B172" s="139"/>
      <c r="C172" s="139"/>
      <c r="D172" s="139"/>
      <c r="E172" s="139"/>
      <c r="F172" s="139"/>
      <c r="G172" s="139"/>
      <c r="H172" s="147"/>
    </row>
    <row r="173" spans="1:8" ht="14.25" x14ac:dyDescent="0.2">
      <c r="A173" s="139"/>
      <c r="B173" s="139" t="s">
        <v>106</v>
      </c>
      <c r="C173" s="139"/>
      <c r="D173" s="139"/>
      <c r="E173" s="139"/>
      <c r="F173" s="139"/>
      <c r="G173" s="139"/>
      <c r="H173" s="147" t="s">
        <v>1223</v>
      </c>
    </row>
    <row r="174" spans="1:8" ht="14.25" x14ac:dyDescent="0.2">
      <c r="A174" s="139"/>
      <c r="B174" s="139"/>
      <c r="C174" s="139"/>
      <c r="D174" s="139"/>
      <c r="E174" s="139"/>
      <c r="F174" s="139"/>
      <c r="G174" s="139"/>
      <c r="H174" s="147"/>
    </row>
    <row r="175" spans="1:8" ht="14.25" x14ac:dyDescent="0.2">
      <c r="A175" s="139"/>
      <c r="B175" s="139" t="s">
        <v>107</v>
      </c>
      <c r="C175" s="139"/>
      <c r="D175" s="139"/>
      <c r="E175" s="139"/>
      <c r="F175" s="139"/>
      <c r="G175" s="139"/>
      <c r="H175" s="147">
        <v>3</v>
      </c>
    </row>
    <row r="176" spans="1:8" ht="14.25" x14ac:dyDescent="0.2">
      <c r="A176" s="139"/>
      <c r="B176" s="139"/>
      <c r="C176" s="139"/>
      <c r="D176" s="139"/>
      <c r="E176" s="139"/>
      <c r="F176" s="139"/>
      <c r="G176" s="139"/>
      <c r="H176" s="147"/>
    </row>
    <row r="177" spans="1:8" ht="14.25" x14ac:dyDescent="0.2">
      <c r="A177" s="139"/>
      <c r="B177" s="139" t="s">
        <v>640</v>
      </c>
      <c r="C177" s="139"/>
      <c r="D177" s="139"/>
      <c r="E177" s="139"/>
      <c r="F177" s="139"/>
      <c r="G177" s="139"/>
      <c r="H177" s="147">
        <v>3</v>
      </c>
    </row>
    <row r="178" spans="1:8" ht="14.25" x14ac:dyDescent="0.2">
      <c r="A178" s="139"/>
      <c r="B178" s="139"/>
      <c r="C178" s="139"/>
      <c r="D178" s="139"/>
      <c r="E178" s="139"/>
      <c r="F178" s="139"/>
      <c r="G178" s="139"/>
      <c r="H178" s="147"/>
    </row>
    <row r="179" spans="1:8" ht="14.25" x14ac:dyDescent="0.2">
      <c r="A179" s="139"/>
      <c r="B179" s="139" t="s">
        <v>108</v>
      </c>
      <c r="C179" s="139"/>
      <c r="D179" s="139"/>
      <c r="E179" s="139"/>
      <c r="F179" s="139"/>
      <c r="G179" s="139"/>
      <c r="H179" s="147">
        <v>3</v>
      </c>
    </row>
    <row r="180" spans="1:8" ht="14.25" x14ac:dyDescent="0.2">
      <c r="A180" s="139"/>
      <c r="B180" s="139"/>
      <c r="C180" s="139"/>
      <c r="D180" s="139"/>
      <c r="E180" s="139"/>
      <c r="F180" s="139"/>
      <c r="G180" s="139"/>
      <c r="H180" s="147"/>
    </row>
    <row r="181" spans="1:8" ht="14.25" x14ac:dyDescent="0.2">
      <c r="A181" s="139"/>
      <c r="B181" s="139" t="s">
        <v>645</v>
      </c>
      <c r="C181" s="139"/>
      <c r="D181" s="139"/>
      <c r="E181" s="139"/>
      <c r="F181" s="139"/>
      <c r="G181" s="139"/>
      <c r="H181" s="147">
        <v>3</v>
      </c>
    </row>
    <row r="182" spans="1:8" ht="14.25" x14ac:dyDescent="0.2">
      <c r="A182" s="139"/>
      <c r="B182" s="139"/>
      <c r="C182" s="139"/>
      <c r="D182" s="139"/>
      <c r="E182" s="139"/>
      <c r="F182" s="139"/>
      <c r="G182" s="139"/>
      <c r="H182" s="147"/>
    </row>
    <row r="183" spans="1:8" ht="14.25" x14ac:dyDescent="0.2">
      <c r="A183" s="139"/>
      <c r="B183" s="139" t="s">
        <v>109</v>
      </c>
      <c r="C183" s="139"/>
      <c r="D183" s="139"/>
      <c r="E183" s="139"/>
      <c r="F183" s="139"/>
      <c r="G183" s="139"/>
      <c r="H183" s="147">
        <v>4</v>
      </c>
    </row>
    <row r="184" spans="1:8" ht="14.25" x14ac:dyDescent="0.2">
      <c r="A184" s="139"/>
      <c r="B184" s="139"/>
      <c r="C184" s="139"/>
      <c r="D184" s="139"/>
      <c r="E184" s="139"/>
      <c r="F184" s="139"/>
      <c r="G184" s="139"/>
      <c r="H184" s="147"/>
    </row>
    <row r="185" spans="1:8" ht="14.25" x14ac:dyDescent="0.2">
      <c r="A185" s="139"/>
      <c r="B185" s="139" t="s">
        <v>110</v>
      </c>
      <c r="C185" s="139"/>
      <c r="D185" s="139"/>
      <c r="E185" s="139"/>
      <c r="F185" s="139"/>
      <c r="G185" s="139"/>
      <c r="H185" s="147">
        <v>4</v>
      </c>
    </row>
    <row r="186" spans="1:8" ht="14.25" x14ac:dyDescent="0.2">
      <c r="A186" s="139"/>
      <c r="B186" s="139"/>
      <c r="C186" s="139"/>
      <c r="D186" s="139"/>
      <c r="E186" s="139"/>
      <c r="F186" s="139"/>
      <c r="G186" s="139"/>
      <c r="H186" s="147"/>
    </row>
    <row r="187" spans="1:8" ht="14.25" x14ac:dyDescent="0.2">
      <c r="A187" s="139"/>
      <c r="B187" s="139" t="s">
        <v>111</v>
      </c>
      <c r="C187" s="139"/>
      <c r="D187" s="139"/>
      <c r="E187" s="139"/>
      <c r="F187" s="139"/>
      <c r="G187" s="139"/>
      <c r="H187" s="147">
        <v>4</v>
      </c>
    </row>
    <row r="188" spans="1:8" ht="14.25" x14ac:dyDescent="0.2">
      <c r="A188" s="139"/>
      <c r="B188" s="139"/>
      <c r="C188" s="139"/>
      <c r="D188" s="139"/>
      <c r="E188" s="139"/>
      <c r="F188" s="139"/>
      <c r="G188" s="139"/>
      <c r="H188" s="147"/>
    </row>
    <row r="189" spans="1:8" ht="14.25" x14ac:dyDescent="0.2">
      <c r="A189" s="139"/>
      <c r="B189" s="139" t="s">
        <v>646</v>
      </c>
      <c r="C189" s="139"/>
      <c r="D189" s="139"/>
      <c r="E189" s="139"/>
      <c r="F189" s="139"/>
      <c r="G189" s="139"/>
      <c r="H189" s="147">
        <v>5</v>
      </c>
    </row>
    <row r="190" spans="1:8" ht="14.25" x14ac:dyDescent="0.2">
      <c r="A190" s="139"/>
      <c r="B190" s="139"/>
      <c r="C190" s="139"/>
      <c r="D190" s="139"/>
      <c r="E190" s="139"/>
      <c r="F190" s="139"/>
      <c r="G190" s="139"/>
      <c r="H190" s="147"/>
    </row>
    <row r="191" spans="1:8" ht="14.25" x14ac:dyDescent="0.2">
      <c r="A191" s="139"/>
      <c r="B191" s="139" t="s">
        <v>647</v>
      </c>
      <c r="C191" s="139"/>
      <c r="D191" s="139"/>
      <c r="E191" s="139"/>
      <c r="F191" s="139"/>
      <c r="G191" s="139"/>
      <c r="H191" s="147">
        <v>5</v>
      </c>
    </row>
    <row r="192" spans="1:8" ht="14.25" x14ac:dyDescent="0.2">
      <c r="A192" s="139"/>
      <c r="B192" s="139"/>
      <c r="C192" s="139"/>
      <c r="D192" s="139"/>
      <c r="E192" s="139"/>
      <c r="F192" s="139"/>
      <c r="G192" s="139"/>
      <c r="H192" s="147"/>
    </row>
    <row r="193" spans="1:8" ht="14.25" x14ac:dyDescent="0.2">
      <c r="A193" s="139"/>
      <c r="B193" s="139" t="s">
        <v>112</v>
      </c>
      <c r="C193" s="139"/>
      <c r="D193" s="139"/>
      <c r="E193" s="139"/>
      <c r="F193" s="139"/>
      <c r="G193" s="139"/>
      <c r="H193" s="147">
        <v>5</v>
      </c>
    </row>
    <row r="194" spans="1:8" ht="14.25" x14ac:dyDescent="0.2">
      <c r="A194" s="139"/>
      <c r="B194" s="139"/>
      <c r="C194" s="139"/>
      <c r="D194" s="139"/>
      <c r="E194" s="139"/>
      <c r="F194" s="139"/>
      <c r="G194" s="139"/>
      <c r="H194" s="147"/>
    </row>
    <row r="195" spans="1:8" ht="14.25" x14ac:dyDescent="0.2">
      <c r="A195" s="139"/>
      <c r="B195" s="139" t="s">
        <v>648</v>
      </c>
      <c r="C195" s="139"/>
      <c r="D195" s="139"/>
      <c r="E195" s="139"/>
      <c r="F195" s="139"/>
      <c r="G195" s="139"/>
      <c r="H195" s="147">
        <v>5</v>
      </c>
    </row>
    <row r="196" spans="1:8" ht="14.25" x14ac:dyDescent="0.2">
      <c r="A196" s="139"/>
      <c r="B196" s="139"/>
      <c r="C196" s="139"/>
      <c r="D196" s="139"/>
      <c r="E196" s="139"/>
      <c r="F196" s="139"/>
      <c r="G196" s="139"/>
      <c r="H196" s="147"/>
    </row>
    <row r="197" spans="1:8" ht="14.25" x14ac:dyDescent="0.2">
      <c r="A197" s="139"/>
      <c r="B197" s="139" t="s">
        <v>649</v>
      </c>
      <c r="C197" s="139"/>
      <c r="D197" s="139"/>
      <c r="E197" s="139"/>
      <c r="F197" s="139"/>
      <c r="G197" s="139"/>
      <c r="H197" s="147">
        <v>6</v>
      </c>
    </row>
    <row r="198" spans="1:8" ht="14.25" x14ac:dyDescent="0.2">
      <c r="A198" s="139"/>
      <c r="B198" s="139"/>
      <c r="C198" s="139"/>
      <c r="D198" s="139"/>
      <c r="E198" s="139"/>
      <c r="F198" s="139"/>
      <c r="G198" s="139"/>
      <c r="H198" s="147"/>
    </row>
    <row r="199" spans="1:8" ht="14.25" x14ac:dyDescent="0.2">
      <c r="A199" s="139"/>
      <c r="B199" s="139" t="s">
        <v>113</v>
      </c>
      <c r="C199" s="139"/>
      <c r="D199" s="139"/>
      <c r="E199" s="139"/>
      <c r="F199" s="139"/>
      <c r="G199" s="139"/>
      <c r="H199" s="147">
        <v>6</v>
      </c>
    </row>
    <row r="200" spans="1:8" ht="14.25" x14ac:dyDescent="0.2">
      <c r="A200" s="139"/>
      <c r="B200" s="139"/>
      <c r="C200" s="139"/>
      <c r="D200" s="139"/>
      <c r="E200" s="139"/>
      <c r="F200" s="139"/>
      <c r="G200" s="139"/>
      <c r="H200" s="147"/>
    </row>
    <row r="201" spans="1:8" ht="14.25" x14ac:dyDescent="0.2">
      <c r="A201" s="139"/>
      <c r="B201" s="139" t="s">
        <v>114</v>
      </c>
      <c r="C201" s="139"/>
      <c r="D201" s="139"/>
      <c r="E201" s="139"/>
      <c r="F201" s="139"/>
      <c r="G201" s="139"/>
      <c r="H201" s="147">
        <v>6</v>
      </c>
    </row>
    <row r="202" spans="1:8" ht="14.25" x14ac:dyDescent="0.2">
      <c r="A202" s="139"/>
      <c r="B202" s="139"/>
      <c r="C202" s="139"/>
      <c r="D202" s="139"/>
      <c r="E202" s="139"/>
      <c r="F202" s="139"/>
      <c r="G202" s="139"/>
      <c r="H202" s="147"/>
    </row>
    <row r="203" spans="1:8" ht="14.25" x14ac:dyDescent="0.2">
      <c r="A203" s="139"/>
      <c r="B203" s="139" t="s">
        <v>115</v>
      </c>
      <c r="C203" s="139"/>
      <c r="D203" s="139"/>
      <c r="E203" s="139"/>
      <c r="F203" s="139"/>
      <c r="G203" s="139"/>
      <c r="H203" s="147">
        <v>7</v>
      </c>
    </row>
    <row r="204" spans="1:8" ht="14.25" x14ac:dyDescent="0.2">
      <c r="A204" s="139"/>
      <c r="B204" s="139"/>
      <c r="C204" s="139"/>
      <c r="D204" s="139"/>
      <c r="E204" s="139"/>
      <c r="F204" s="139"/>
      <c r="G204" s="139"/>
      <c r="H204" s="147"/>
    </row>
    <row r="205" spans="1:8" ht="14.25" x14ac:dyDescent="0.2">
      <c r="A205" s="139"/>
      <c r="B205" s="139" t="s">
        <v>481</v>
      </c>
      <c r="C205" s="139"/>
      <c r="D205" s="139"/>
      <c r="E205" s="139"/>
      <c r="F205" s="139"/>
      <c r="G205" s="139"/>
      <c r="H205" s="147">
        <v>7</v>
      </c>
    </row>
    <row r="206" spans="1:8" ht="14.25" x14ac:dyDescent="0.2">
      <c r="A206" s="139"/>
      <c r="B206" s="139"/>
      <c r="C206" s="139"/>
      <c r="D206" s="139"/>
      <c r="E206" s="139"/>
      <c r="F206" s="139"/>
      <c r="G206" s="139"/>
      <c r="H206" s="147"/>
    </row>
    <row r="207" spans="1:8" x14ac:dyDescent="0.2">
      <c r="H207" s="120"/>
    </row>
    <row r="208" spans="1:8" ht="15" x14ac:dyDescent="0.25">
      <c r="B208" s="139"/>
      <c r="C208" s="139"/>
      <c r="D208" s="139"/>
      <c r="E208" s="145" t="s">
        <v>638</v>
      </c>
      <c r="F208" s="139"/>
      <c r="G208" s="139"/>
      <c r="H208" s="147"/>
    </row>
    <row r="209" spans="2:8" ht="15" x14ac:dyDescent="0.25">
      <c r="B209" s="139"/>
      <c r="C209" s="139"/>
      <c r="D209" s="139"/>
      <c r="E209" s="163" t="str">
        <f>+E157</f>
        <v>2020-2021 BUDGET</v>
      </c>
      <c r="F209" s="139"/>
      <c r="G209" s="139"/>
      <c r="H209" s="147"/>
    </row>
    <row r="210" spans="2:8" ht="15" x14ac:dyDescent="0.25">
      <c r="B210" s="139"/>
      <c r="C210" s="139"/>
      <c r="D210" s="139"/>
      <c r="E210" s="145" t="s">
        <v>101</v>
      </c>
      <c r="F210" s="139"/>
      <c r="G210" s="139"/>
      <c r="H210" s="147"/>
    </row>
    <row r="211" spans="2:8" ht="14.25" x14ac:dyDescent="0.2">
      <c r="B211" s="139"/>
      <c r="C211" s="139"/>
      <c r="D211" s="139"/>
      <c r="E211" s="139"/>
      <c r="F211" s="139"/>
      <c r="G211" s="139"/>
      <c r="H211" s="147"/>
    </row>
    <row r="212" spans="2:8" ht="14.25" x14ac:dyDescent="0.2">
      <c r="B212" s="139" t="s">
        <v>116</v>
      </c>
      <c r="C212" s="139"/>
      <c r="D212" s="139"/>
      <c r="E212" s="139"/>
      <c r="F212" s="139"/>
      <c r="G212" s="139"/>
      <c r="H212" s="147">
        <v>8</v>
      </c>
    </row>
    <row r="213" spans="2:8" ht="14.25" x14ac:dyDescent="0.2">
      <c r="B213" s="139"/>
      <c r="C213" s="139"/>
      <c r="D213" s="139"/>
      <c r="E213" s="139"/>
      <c r="F213" s="139"/>
      <c r="G213" s="139"/>
      <c r="H213" s="147"/>
    </row>
    <row r="214" spans="2:8" ht="14.25" x14ac:dyDescent="0.2">
      <c r="B214" s="139" t="s">
        <v>117</v>
      </c>
      <c r="C214" s="139"/>
      <c r="D214" s="139"/>
      <c r="E214" s="139"/>
      <c r="F214" s="139"/>
      <c r="G214" s="139"/>
      <c r="H214" s="149">
        <v>8</v>
      </c>
    </row>
    <row r="215" spans="2:8" ht="14.25" x14ac:dyDescent="0.2">
      <c r="B215" s="139"/>
      <c r="C215" s="139"/>
      <c r="D215" s="139"/>
      <c r="E215" s="139"/>
      <c r="F215" s="139"/>
      <c r="G215" s="139"/>
      <c r="H215" s="147"/>
    </row>
    <row r="216" spans="2:8" ht="14.25" x14ac:dyDescent="0.2">
      <c r="B216" s="139" t="s">
        <v>118</v>
      </c>
      <c r="C216" s="139"/>
      <c r="D216" s="139"/>
      <c r="E216" s="139"/>
      <c r="F216" s="139"/>
      <c r="G216" s="139"/>
      <c r="H216" s="149">
        <v>8</v>
      </c>
    </row>
    <row r="217" spans="2:8" ht="14.25" x14ac:dyDescent="0.2">
      <c r="B217" s="139"/>
      <c r="C217" s="139"/>
      <c r="D217" s="139"/>
      <c r="E217" s="139"/>
      <c r="F217" s="139"/>
      <c r="G217" s="139"/>
      <c r="H217" s="147"/>
    </row>
    <row r="218" spans="2:8" ht="14.25" x14ac:dyDescent="0.2">
      <c r="B218" s="139" t="s">
        <v>91</v>
      </c>
      <c r="C218" s="139"/>
      <c r="D218" s="139"/>
      <c r="E218" s="139"/>
      <c r="F218" s="139"/>
      <c r="G218" s="139"/>
      <c r="H218" s="149">
        <v>8</v>
      </c>
    </row>
    <row r="219" spans="2:8" ht="14.25" x14ac:dyDescent="0.2">
      <c r="B219" s="139"/>
      <c r="C219" s="139"/>
      <c r="D219" s="139"/>
      <c r="E219" s="139"/>
      <c r="F219" s="139"/>
      <c r="G219" s="139"/>
      <c r="H219" s="147"/>
    </row>
    <row r="220" spans="2:8" ht="14.25" x14ac:dyDescent="0.2">
      <c r="B220" s="139" t="s">
        <v>119</v>
      </c>
      <c r="C220" s="139"/>
      <c r="D220" s="139"/>
      <c r="E220" s="139"/>
      <c r="F220" s="139"/>
      <c r="G220" s="139"/>
      <c r="H220" s="149">
        <v>9</v>
      </c>
    </row>
    <row r="221" spans="2:8" ht="14.25" x14ac:dyDescent="0.2">
      <c r="B221" s="139"/>
      <c r="C221" s="139"/>
      <c r="D221" s="139"/>
      <c r="E221" s="139"/>
      <c r="F221" s="139"/>
      <c r="G221" s="139"/>
      <c r="H221" s="147"/>
    </row>
    <row r="222" spans="2:8" ht="14.25" x14ac:dyDescent="0.2">
      <c r="B222" s="139" t="s">
        <v>120</v>
      </c>
      <c r="C222" s="139"/>
      <c r="D222" s="139"/>
      <c r="E222" s="139"/>
      <c r="F222" s="139"/>
      <c r="G222" s="139"/>
      <c r="H222" s="149">
        <v>9</v>
      </c>
    </row>
    <row r="223" spans="2:8" ht="14.25" x14ac:dyDescent="0.2">
      <c r="B223" s="139"/>
      <c r="C223" s="139"/>
      <c r="D223" s="139"/>
      <c r="E223" s="139"/>
      <c r="F223" s="139"/>
      <c r="G223" s="139"/>
      <c r="H223" s="147"/>
    </row>
    <row r="224" spans="2:8" ht="14.25" x14ac:dyDescent="0.2">
      <c r="B224" s="154" t="s">
        <v>2341</v>
      </c>
      <c r="C224" s="139"/>
      <c r="D224" s="139"/>
      <c r="E224" s="139"/>
      <c r="F224" s="139"/>
      <c r="G224" s="139"/>
      <c r="H224" s="149">
        <v>9</v>
      </c>
    </row>
    <row r="225" spans="2:8" ht="14.25" x14ac:dyDescent="0.2">
      <c r="B225" s="139"/>
      <c r="C225" s="139"/>
      <c r="D225" s="139"/>
      <c r="E225" s="139"/>
      <c r="F225" s="139"/>
      <c r="G225" s="139"/>
      <c r="H225" s="147"/>
    </row>
    <row r="226" spans="2:8" ht="14.25" x14ac:dyDescent="0.2">
      <c r="B226" s="139" t="s">
        <v>1543</v>
      </c>
      <c r="C226" s="139"/>
      <c r="D226" s="139"/>
      <c r="E226" s="139"/>
      <c r="F226" s="139"/>
      <c r="G226" s="139"/>
      <c r="H226" s="149">
        <v>10</v>
      </c>
    </row>
    <row r="227" spans="2:8" ht="14.25" x14ac:dyDescent="0.2">
      <c r="B227" s="139"/>
      <c r="C227" s="139"/>
      <c r="D227" s="139"/>
      <c r="E227" s="139"/>
      <c r="F227" s="139"/>
      <c r="G227" s="139"/>
      <c r="H227" s="147"/>
    </row>
    <row r="228" spans="2:8" ht="14.25" x14ac:dyDescent="0.2">
      <c r="B228" s="139" t="s">
        <v>1544</v>
      </c>
      <c r="C228" s="139"/>
      <c r="D228" s="139"/>
      <c r="E228" s="139"/>
      <c r="F228" s="139"/>
      <c r="G228" s="139"/>
      <c r="H228" s="149">
        <v>10</v>
      </c>
    </row>
    <row r="229" spans="2:8" ht="14.25" x14ac:dyDescent="0.2">
      <c r="B229" s="139"/>
      <c r="C229" s="139"/>
      <c r="D229" s="139"/>
      <c r="E229" s="139"/>
      <c r="F229" s="139"/>
      <c r="G229" s="139"/>
      <c r="H229" s="147"/>
    </row>
    <row r="230" spans="2:8" ht="14.25" x14ac:dyDescent="0.2">
      <c r="B230" s="139" t="s">
        <v>1545</v>
      </c>
      <c r="C230" s="139"/>
      <c r="D230" s="139"/>
      <c r="E230" s="139"/>
      <c r="F230" s="139"/>
      <c r="G230" s="139"/>
      <c r="H230" s="149">
        <v>11</v>
      </c>
    </row>
    <row r="231" spans="2:8" ht="14.25" x14ac:dyDescent="0.2">
      <c r="B231" s="139"/>
      <c r="C231" s="139"/>
      <c r="D231" s="139"/>
      <c r="E231" s="139"/>
      <c r="F231" s="139"/>
      <c r="G231" s="139"/>
      <c r="H231" s="147"/>
    </row>
    <row r="232" spans="2:8" ht="14.25" x14ac:dyDescent="0.2">
      <c r="B232" s="139" t="s">
        <v>1546</v>
      </c>
      <c r="C232" s="139"/>
      <c r="D232" s="139"/>
      <c r="E232" s="139"/>
      <c r="F232" s="139"/>
      <c r="G232" s="139"/>
      <c r="H232" s="149">
        <v>11</v>
      </c>
    </row>
    <row r="233" spans="2:8" ht="14.25" x14ac:dyDescent="0.2">
      <c r="B233" s="139"/>
      <c r="C233" s="139"/>
      <c r="D233" s="139"/>
      <c r="E233" s="139"/>
      <c r="F233" s="139"/>
      <c r="G233" s="139"/>
      <c r="H233" s="147"/>
    </row>
    <row r="234" spans="2:8" ht="14.25" x14ac:dyDescent="0.2">
      <c r="B234" s="139" t="s">
        <v>1547</v>
      </c>
      <c r="C234" s="139"/>
      <c r="D234" s="139"/>
      <c r="E234" s="139"/>
      <c r="F234" s="139"/>
      <c r="G234" s="139"/>
      <c r="H234" s="149">
        <v>12</v>
      </c>
    </row>
    <row r="235" spans="2:8" ht="14.25" x14ac:dyDescent="0.2">
      <c r="B235" s="139" t="s">
        <v>1410</v>
      </c>
      <c r="C235" s="139"/>
      <c r="D235" s="139"/>
      <c r="E235" s="139"/>
      <c r="F235" s="139"/>
      <c r="G235" s="139"/>
      <c r="H235" s="147"/>
    </row>
    <row r="236" spans="2:8" ht="14.25" x14ac:dyDescent="0.2">
      <c r="B236" s="139" t="s">
        <v>1548</v>
      </c>
      <c r="C236" s="139"/>
      <c r="D236" s="139"/>
      <c r="E236" s="139"/>
      <c r="F236" s="139"/>
      <c r="G236" s="139"/>
      <c r="H236" s="149">
        <v>12</v>
      </c>
    </row>
    <row r="237" spans="2:8" ht="14.25" x14ac:dyDescent="0.2">
      <c r="B237" s="139"/>
      <c r="C237" s="139"/>
      <c r="D237" s="139"/>
      <c r="E237" s="139"/>
      <c r="F237" s="139"/>
      <c r="G237" s="139"/>
      <c r="H237" s="147"/>
    </row>
    <row r="238" spans="2:8" ht="14.25" x14ac:dyDescent="0.2">
      <c r="B238" s="139" t="s">
        <v>1549</v>
      </c>
      <c r="C238" s="139"/>
      <c r="D238" s="139"/>
      <c r="E238" s="139"/>
      <c r="F238" s="139"/>
      <c r="G238" s="139"/>
      <c r="H238" s="149">
        <v>13</v>
      </c>
    </row>
    <row r="239" spans="2:8" ht="14.25" x14ac:dyDescent="0.2">
      <c r="B239" s="139"/>
      <c r="C239" s="139"/>
      <c r="D239" s="139"/>
      <c r="E239" s="139"/>
      <c r="F239" s="139"/>
      <c r="G239" s="139"/>
      <c r="H239" s="147"/>
    </row>
    <row r="240" spans="2:8" ht="14.25" x14ac:dyDescent="0.2">
      <c r="B240" s="139" t="s">
        <v>302</v>
      </c>
      <c r="C240" s="139"/>
      <c r="D240" s="139"/>
      <c r="E240" s="139"/>
      <c r="F240" s="139"/>
      <c r="G240" s="139"/>
      <c r="H240" s="149">
        <v>14</v>
      </c>
    </row>
    <row r="241" spans="2:8" ht="14.25" x14ac:dyDescent="0.2">
      <c r="B241" s="139"/>
      <c r="C241" s="139"/>
      <c r="D241" s="139"/>
      <c r="E241" s="139"/>
      <c r="F241" s="139"/>
      <c r="G241" s="139"/>
      <c r="H241" s="147"/>
    </row>
    <row r="242" spans="2:8" ht="14.25" x14ac:dyDescent="0.2">
      <c r="B242" s="139" t="s">
        <v>1550</v>
      </c>
      <c r="C242" s="139"/>
      <c r="D242" s="139"/>
      <c r="E242" s="139"/>
      <c r="F242" s="139"/>
      <c r="G242" s="139"/>
      <c r="H242" s="147">
        <v>15</v>
      </c>
    </row>
    <row r="243" spans="2:8" ht="14.25" x14ac:dyDescent="0.2">
      <c r="B243" s="139"/>
      <c r="C243" s="139"/>
      <c r="D243" s="139"/>
      <c r="E243" s="139"/>
      <c r="F243" s="139"/>
      <c r="G243" s="139"/>
      <c r="H243" s="147"/>
    </row>
    <row r="244" spans="2:8" ht="14.25" x14ac:dyDescent="0.2">
      <c r="B244" s="139" t="s">
        <v>1551</v>
      </c>
      <c r="C244" s="139"/>
      <c r="D244" s="139"/>
      <c r="E244" s="139"/>
      <c r="F244" s="139"/>
      <c r="G244" s="139"/>
      <c r="H244" s="147">
        <v>15</v>
      </c>
    </row>
    <row r="245" spans="2:8" ht="14.25" x14ac:dyDescent="0.2">
      <c r="B245" s="139"/>
      <c r="C245" s="139"/>
      <c r="D245" s="139"/>
      <c r="E245" s="139"/>
      <c r="F245" s="139"/>
      <c r="G245" s="139"/>
      <c r="H245" s="147"/>
    </row>
    <row r="246" spans="2:8" ht="14.25" x14ac:dyDescent="0.2">
      <c r="B246" s="139" t="s">
        <v>1552</v>
      </c>
      <c r="C246" s="139"/>
      <c r="D246" s="139"/>
      <c r="E246" s="139"/>
      <c r="F246" s="139"/>
      <c r="G246" s="139"/>
      <c r="H246" s="149">
        <v>15</v>
      </c>
    </row>
    <row r="247" spans="2:8" ht="14.25" x14ac:dyDescent="0.2">
      <c r="B247" s="139"/>
      <c r="C247" s="139"/>
      <c r="D247" s="139"/>
      <c r="E247" s="139"/>
      <c r="F247" s="139"/>
      <c r="G247" s="139"/>
      <c r="H247" s="147"/>
    </row>
    <row r="248" spans="2:8" ht="14.25" x14ac:dyDescent="0.2">
      <c r="B248" s="139" t="s">
        <v>1224</v>
      </c>
      <c r="C248" s="139"/>
      <c r="D248" s="139"/>
      <c r="E248" s="139"/>
      <c r="F248" s="139"/>
      <c r="G248" s="139"/>
      <c r="H248" s="149">
        <v>15</v>
      </c>
    </row>
    <row r="249" spans="2:8" ht="14.25" x14ac:dyDescent="0.2">
      <c r="B249" s="139"/>
      <c r="C249" s="139"/>
      <c r="D249" s="139"/>
      <c r="E249" s="139"/>
      <c r="F249" s="139"/>
      <c r="G249" s="139"/>
      <c r="H249" s="147"/>
    </row>
    <row r="250" spans="2:8" ht="14.25" x14ac:dyDescent="0.2">
      <c r="B250" s="139" t="s">
        <v>1553</v>
      </c>
      <c r="C250" s="139"/>
      <c r="D250" s="139"/>
      <c r="E250" s="139"/>
      <c r="F250" s="139"/>
      <c r="G250" s="139"/>
      <c r="H250" s="149">
        <v>16</v>
      </c>
    </row>
    <row r="251" spans="2:8" ht="14.25" x14ac:dyDescent="0.2">
      <c r="B251" s="139"/>
      <c r="C251" s="139"/>
      <c r="D251" s="139"/>
      <c r="E251" s="139"/>
      <c r="F251" s="139"/>
      <c r="G251" s="139"/>
      <c r="H251" s="147"/>
    </row>
    <row r="252" spans="2:8" ht="14.25" x14ac:dyDescent="0.2">
      <c r="B252" s="139" t="s">
        <v>1554</v>
      </c>
      <c r="C252" s="139"/>
      <c r="D252" s="139"/>
      <c r="E252" s="139"/>
      <c r="F252" s="139" t="s">
        <v>1410</v>
      </c>
      <c r="G252" s="139"/>
      <c r="H252" s="149">
        <v>16</v>
      </c>
    </row>
    <row r="253" spans="2:8" ht="14.25" x14ac:dyDescent="0.2">
      <c r="B253" s="139"/>
      <c r="C253" s="139"/>
      <c r="D253" s="139"/>
      <c r="E253" s="139"/>
      <c r="F253" s="139"/>
      <c r="G253" s="139"/>
      <c r="H253" s="147"/>
    </row>
    <row r="254" spans="2:8" ht="14.25" x14ac:dyDescent="0.2">
      <c r="B254" s="139" t="s">
        <v>1555</v>
      </c>
      <c r="C254" s="139"/>
      <c r="D254" s="139"/>
      <c r="E254" s="139"/>
      <c r="F254" s="139"/>
      <c r="G254" s="139"/>
      <c r="H254" s="149">
        <v>16</v>
      </c>
    </row>
    <row r="255" spans="2:8" ht="14.25" x14ac:dyDescent="0.2">
      <c r="B255" s="139"/>
      <c r="C255" s="139"/>
      <c r="D255" s="139"/>
      <c r="E255" s="139"/>
      <c r="F255" s="139"/>
      <c r="G255" s="139"/>
      <c r="H255" s="147"/>
    </row>
    <row r="256" spans="2:8" x14ac:dyDescent="0.2">
      <c r="H256" s="120"/>
    </row>
    <row r="257" spans="2:8" x14ac:dyDescent="0.2">
      <c r="H257" s="120"/>
    </row>
    <row r="258" spans="2:8" x14ac:dyDescent="0.2">
      <c r="H258" s="120"/>
    </row>
    <row r="259" spans="2:8" x14ac:dyDescent="0.2">
      <c r="H259" s="120"/>
    </row>
    <row r="260" spans="2:8" ht="15" x14ac:dyDescent="0.25">
      <c r="B260" s="139"/>
      <c r="C260" s="139"/>
      <c r="D260" s="139"/>
      <c r="E260" s="145" t="s">
        <v>638</v>
      </c>
      <c r="F260" s="139"/>
      <c r="G260" s="139"/>
      <c r="H260" s="147"/>
    </row>
    <row r="261" spans="2:8" ht="15" x14ac:dyDescent="0.25">
      <c r="B261" s="139"/>
      <c r="C261" s="139"/>
      <c r="D261" s="139"/>
      <c r="E261" s="163" t="str">
        <f>+E209</f>
        <v>2020-2021 BUDGET</v>
      </c>
      <c r="F261" s="139"/>
      <c r="G261" s="139"/>
      <c r="H261" s="147"/>
    </row>
    <row r="262" spans="2:8" ht="15" x14ac:dyDescent="0.25">
      <c r="B262" s="139"/>
      <c r="C262" s="139"/>
      <c r="D262" s="139"/>
      <c r="E262" s="145" t="s">
        <v>101</v>
      </c>
      <c r="F262" s="139"/>
      <c r="G262" s="139"/>
      <c r="H262" s="147"/>
    </row>
    <row r="263" spans="2:8" ht="15" x14ac:dyDescent="0.25">
      <c r="B263" s="139"/>
      <c r="C263" s="139"/>
      <c r="D263" s="139"/>
      <c r="E263" s="145"/>
      <c r="F263" s="139"/>
      <c r="G263" s="139"/>
      <c r="H263" s="147"/>
    </row>
    <row r="264" spans="2:8" ht="14.25" x14ac:dyDescent="0.2">
      <c r="B264" s="139" t="s">
        <v>1556</v>
      </c>
      <c r="C264" s="139"/>
      <c r="D264" s="139"/>
      <c r="E264" s="139"/>
      <c r="F264" s="139"/>
      <c r="G264" s="139"/>
      <c r="H264" s="149">
        <v>16</v>
      </c>
    </row>
    <row r="265" spans="2:8" ht="14.25" x14ac:dyDescent="0.2">
      <c r="B265" s="139"/>
      <c r="C265" s="139"/>
      <c r="D265" s="139"/>
      <c r="E265" s="139"/>
      <c r="F265" s="139"/>
      <c r="G265" s="139"/>
      <c r="H265" s="147"/>
    </row>
    <row r="266" spans="2:8" ht="14.25" x14ac:dyDescent="0.2">
      <c r="B266" s="154" t="s">
        <v>2342</v>
      </c>
      <c r="C266" s="139"/>
      <c r="D266" s="139"/>
      <c r="E266" s="139"/>
      <c r="F266" s="139"/>
      <c r="G266" s="139"/>
      <c r="H266" s="147">
        <v>17</v>
      </c>
    </row>
    <row r="267" spans="2:8" ht="14.25" x14ac:dyDescent="0.2">
      <c r="B267" s="139"/>
      <c r="C267" s="139"/>
      <c r="D267" s="139"/>
      <c r="E267" s="139"/>
      <c r="F267" s="139"/>
      <c r="G267" s="139"/>
      <c r="H267" s="147"/>
    </row>
    <row r="268" spans="2:8" ht="14.25" x14ac:dyDescent="0.2">
      <c r="B268" s="139" t="s">
        <v>1557</v>
      </c>
      <c r="C268" s="139"/>
      <c r="D268" s="139"/>
      <c r="E268" s="139"/>
      <c r="F268" s="139"/>
      <c r="G268" s="139"/>
      <c r="H268" s="147">
        <v>17</v>
      </c>
    </row>
    <row r="269" spans="2:8" ht="14.25" x14ac:dyDescent="0.2">
      <c r="B269" s="139"/>
      <c r="C269" s="139"/>
      <c r="D269" s="139"/>
      <c r="E269" s="139"/>
      <c r="F269" s="139"/>
      <c r="G269" s="139"/>
      <c r="H269" s="147"/>
    </row>
    <row r="270" spans="2:8" ht="14.25" x14ac:dyDescent="0.2">
      <c r="B270" s="139" t="s">
        <v>595</v>
      </c>
      <c r="C270" s="139"/>
      <c r="D270" s="139"/>
      <c r="E270" s="139"/>
      <c r="F270" s="139"/>
      <c r="G270" s="139"/>
      <c r="H270" s="149">
        <v>17</v>
      </c>
    </row>
    <row r="271" spans="2:8" ht="14.25" x14ac:dyDescent="0.2">
      <c r="B271" s="139"/>
      <c r="C271" s="139"/>
      <c r="D271" s="139"/>
      <c r="E271" s="139"/>
      <c r="F271" s="139"/>
      <c r="G271" s="139"/>
      <c r="H271" s="147"/>
    </row>
    <row r="272" spans="2:8" ht="14.25" x14ac:dyDescent="0.2">
      <c r="B272" s="139" t="s">
        <v>58</v>
      </c>
      <c r="C272" s="139"/>
      <c r="D272" s="139"/>
      <c r="E272" s="139"/>
      <c r="F272" s="139"/>
      <c r="G272" s="139"/>
      <c r="H272" s="149">
        <v>18</v>
      </c>
    </row>
    <row r="273" spans="2:8" ht="14.25" x14ac:dyDescent="0.2">
      <c r="B273" s="139"/>
      <c r="C273" s="139"/>
      <c r="D273" s="139"/>
      <c r="E273" s="139"/>
      <c r="F273" s="139"/>
      <c r="G273" s="139"/>
      <c r="H273" s="147"/>
    </row>
    <row r="274" spans="2:8" ht="14.25" x14ac:dyDescent="0.2">
      <c r="B274" s="139" t="s">
        <v>1605</v>
      </c>
      <c r="C274" s="139"/>
      <c r="D274" s="139"/>
      <c r="E274" s="139"/>
      <c r="F274" s="139"/>
      <c r="G274" s="139"/>
      <c r="H274" s="149">
        <v>19</v>
      </c>
    </row>
    <row r="275" spans="2:8" ht="14.25" x14ac:dyDescent="0.2">
      <c r="B275" s="139"/>
      <c r="C275" s="139"/>
      <c r="D275" s="139"/>
      <c r="E275" s="139"/>
      <c r="F275" s="139"/>
      <c r="G275" s="139"/>
      <c r="H275" s="147"/>
    </row>
    <row r="276" spans="2:8" ht="14.25" x14ac:dyDescent="0.2">
      <c r="B276" s="154" t="s">
        <v>1755</v>
      </c>
      <c r="C276" s="139"/>
      <c r="D276" s="139"/>
      <c r="E276" s="139"/>
      <c r="F276" s="139"/>
      <c r="G276" s="139"/>
      <c r="H276" s="149">
        <v>20</v>
      </c>
    </row>
    <row r="277" spans="2:8" ht="14.25" x14ac:dyDescent="0.2">
      <c r="B277" s="139"/>
      <c r="C277" s="139"/>
      <c r="D277" s="139"/>
      <c r="E277" s="139"/>
      <c r="F277" s="139"/>
      <c r="G277" s="139"/>
      <c r="H277" s="147"/>
    </row>
    <row r="278" spans="2:8" ht="14.25" x14ac:dyDescent="0.2">
      <c r="B278" s="139" t="s">
        <v>57</v>
      </c>
      <c r="C278" s="139"/>
      <c r="D278" s="139"/>
      <c r="E278" s="139"/>
      <c r="F278" s="139"/>
      <c r="G278" s="139"/>
      <c r="H278" s="203" t="s">
        <v>1756</v>
      </c>
    </row>
    <row r="279" spans="2:8" ht="14.25" x14ac:dyDescent="0.2">
      <c r="B279" s="139"/>
      <c r="C279" s="139"/>
      <c r="D279" s="139"/>
      <c r="E279" s="139"/>
      <c r="F279" s="139"/>
      <c r="G279" s="139"/>
      <c r="H279" s="147"/>
    </row>
    <row r="280" spans="2:8" ht="14.25" x14ac:dyDescent="0.2">
      <c r="B280" s="139" t="s">
        <v>1226</v>
      </c>
      <c r="C280" s="139"/>
      <c r="D280" s="139"/>
      <c r="E280" s="139"/>
      <c r="F280" s="139"/>
      <c r="G280" s="139"/>
      <c r="H280" s="149">
        <v>24</v>
      </c>
    </row>
    <row r="281" spans="2:8" ht="14.25" x14ac:dyDescent="0.2">
      <c r="B281" s="139"/>
      <c r="C281" s="139"/>
      <c r="D281" s="139"/>
      <c r="E281" s="139"/>
      <c r="F281" s="139"/>
      <c r="G281" s="139"/>
      <c r="H281" s="147"/>
    </row>
    <row r="282" spans="2:8" ht="14.25" x14ac:dyDescent="0.2">
      <c r="B282" s="139" t="s">
        <v>1622</v>
      </c>
      <c r="C282" s="139"/>
      <c r="D282" s="139"/>
      <c r="E282" s="139"/>
      <c r="F282" s="139"/>
      <c r="G282" s="139"/>
      <c r="H282" s="147">
        <v>25</v>
      </c>
    </row>
    <row r="283" spans="2:8" ht="14.25" x14ac:dyDescent="0.2">
      <c r="B283" s="139"/>
      <c r="C283" s="139"/>
      <c r="D283" s="139"/>
      <c r="E283" s="139"/>
      <c r="F283" s="139"/>
      <c r="G283" s="139"/>
      <c r="H283" s="147"/>
    </row>
    <row r="284" spans="2:8" ht="14.25" x14ac:dyDescent="0.2">
      <c r="B284" s="139" t="s">
        <v>1623</v>
      </c>
      <c r="C284" s="139"/>
      <c r="D284" s="139"/>
      <c r="E284" s="139"/>
      <c r="F284" s="139"/>
      <c r="G284" s="139"/>
      <c r="H284" s="149">
        <v>26</v>
      </c>
    </row>
    <row r="285" spans="2:8" ht="14.25" x14ac:dyDescent="0.2">
      <c r="B285" s="139"/>
      <c r="C285" s="139"/>
      <c r="D285" s="139"/>
      <c r="E285" s="139"/>
      <c r="F285" s="139"/>
      <c r="G285" s="139"/>
      <c r="H285" s="147"/>
    </row>
    <row r="286" spans="2:8" ht="14.25" x14ac:dyDescent="0.2">
      <c r="B286" s="139" t="s">
        <v>1624</v>
      </c>
      <c r="C286" s="139"/>
      <c r="D286" s="139"/>
      <c r="E286" s="139"/>
      <c r="F286" s="139"/>
      <c r="G286" s="139"/>
      <c r="H286" s="147">
        <v>27</v>
      </c>
    </row>
    <row r="287" spans="2:8" ht="14.25" x14ac:dyDescent="0.2">
      <c r="B287" s="139"/>
      <c r="C287" s="139"/>
      <c r="D287" s="139"/>
      <c r="E287" s="139"/>
      <c r="F287" s="139"/>
      <c r="G287" s="139"/>
      <c r="H287" s="147"/>
    </row>
    <row r="288" spans="2:8" ht="14.25" x14ac:dyDescent="0.2">
      <c r="B288" s="139" t="s">
        <v>1609</v>
      </c>
      <c r="C288" s="139"/>
      <c r="D288" s="139"/>
      <c r="E288" s="139"/>
      <c r="F288" s="139"/>
      <c r="G288" s="139"/>
      <c r="H288" s="147">
        <v>28</v>
      </c>
    </row>
    <row r="289" spans="2:8" ht="14.25" x14ac:dyDescent="0.2">
      <c r="B289" s="139"/>
      <c r="C289" s="139"/>
      <c r="D289" s="139"/>
      <c r="E289" s="139"/>
      <c r="F289" s="139"/>
      <c r="G289" s="139"/>
      <c r="H289" s="147"/>
    </row>
    <row r="290" spans="2:8" ht="14.25" x14ac:dyDescent="0.2">
      <c r="B290" s="139" t="s">
        <v>59</v>
      </c>
      <c r="C290" s="139"/>
      <c r="D290" s="139"/>
      <c r="E290" s="139"/>
      <c r="F290" s="139"/>
      <c r="G290" s="139"/>
      <c r="H290" s="147">
        <v>29</v>
      </c>
    </row>
    <row r="291" spans="2:8" ht="14.25" x14ac:dyDescent="0.2">
      <c r="B291" s="139"/>
      <c r="C291" s="139"/>
      <c r="D291" s="139"/>
      <c r="E291" s="139"/>
      <c r="F291" s="139"/>
      <c r="G291" s="139"/>
      <c r="H291" s="147"/>
    </row>
    <row r="292" spans="2:8" ht="14.25" x14ac:dyDescent="0.2">
      <c r="B292" s="154" t="s">
        <v>1690</v>
      </c>
      <c r="C292" s="139"/>
      <c r="D292" s="139"/>
      <c r="E292" s="139"/>
      <c r="F292" s="139"/>
      <c r="G292" s="139"/>
      <c r="H292" s="147">
        <v>30</v>
      </c>
    </row>
    <row r="293" spans="2:8" ht="14.25" x14ac:dyDescent="0.2">
      <c r="B293" s="139"/>
      <c r="C293" s="139"/>
      <c r="D293" s="139"/>
      <c r="E293" s="139"/>
      <c r="F293" s="139"/>
      <c r="G293" s="139"/>
      <c r="H293" s="147"/>
    </row>
    <row r="294" spans="2:8" ht="14.25" x14ac:dyDescent="0.2">
      <c r="B294" s="154" t="s">
        <v>1698</v>
      </c>
      <c r="C294" s="139"/>
      <c r="D294" s="139"/>
      <c r="E294" s="139"/>
      <c r="F294" s="139"/>
      <c r="G294" s="139"/>
      <c r="H294" s="147">
        <v>31</v>
      </c>
    </row>
    <row r="295" spans="2:8" ht="14.25" x14ac:dyDescent="0.2">
      <c r="B295" s="139"/>
      <c r="C295" s="139"/>
      <c r="D295" s="139"/>
      <c r="E295" s="139"/>
      <c r="F295" s="139"/>
      <c r="G295" s="139"/>
      <c r="H295" s="147"/>
    </row>
    <row r="296" spans="2:8" ht="14.25" x14ac:dyDescent="0.2">
      <c r="B296" s="139" t="s">
        <v>1610</v>
      </c>
      <c r="C296" s="139"/>
      <c r="D296" s="139"/>
      <c r="E296" s="139"/>
      <c r="F296" s="139"/>
      <c r="G296" s="139"/>
      <c r="H296" s="147">
        <v>32</v>
      </c>
    </row>
    <row r="297" spans="2:8" ht="14.25" x14ac:dyDescent="0.2">
      <c r="B297" s="139"/>
      <c r="C297" s="139"/>
      <c r="D297" s="139"/>
      <c r="E297" s="139"/>
      <c r="F297" s="139"/>
      <c r="G297" s="139"/>
      <c r="H297" s="147"/>
    </row>
    <row r="298" spans="2:8" ht="14.25" x14ac:dyDescent="0.2">
      <c r="B298" s="154" t="s">
        <v>1662</v>
      </c>
      <c r="C298" s="139"/>
      <c r="D298" s="139"/>
      <c r="E298" s="139"/>
      <c r="F298" s="139"/>
      <c r="G298" s="139"/>
      <c r="H298" s="147">
        <v>33</v>
      </c>
    </row>
    <row r="299" spans="2:8" ht="14.25" x14ac:dyDescent="0.2">
      <c r="B299" s="139"/>
      <c r="C299" s="139"/>
      <c r="D299" s="139"/>
      <c r="E299" s="139"/>
      <c r="F299" s="139"/>
      <c r="G299" s="139"/>
      <c r="H299" s="147"/>
    </row>
    <row r="300" spans="2:8" ht="14.25" x14ac:dyDescent="0.2">
      <c r="B300" s="154" t="s">
        <v>1663</v>
      </c>
      <c r="C300" s="139"/>
      <c r="D300" s="139"/>
      <c r="E300" s="139"/>
      <c r="F300" s="139"/>
      <c r="G300" s="139"/>
      <c r="H300" s="147">
        <v>34</v>
      </c>
    </row>
    <row r="301" spans="2:8" ht="14.25" x14ac:dyDescent="0.2">
      <c r="B301" s="139"/>
      <c r="C301" s="139"/>
      <c r="D301" s="139"/>
      <c r="E301" s="139"/>
      <c r="F301" s="139"/>
      <c r="G301" s="139"/>
      <c r="H301" s="147"/>
    </row>
    <row r="302" spans="2:8" ht="14.25" x14ac:dyDescent="0.2">
      <c r="B302" s="139" t="s">
        <v>1228</v>
      </c>
      <c r="C302" s="139"/>
      <c r="D302" s="139"/>
      <c r="E302" s="139"/>
      <c r="F302" s="139"/>
      <c r="G302" s="139"/>
      <c r="H302" s="147">
        <v>35</v>
      </c>
    </row>
    <row r="303" spans="2:8" ht="14.25" x14ac:dyDescent="0.2">
      <c r="B303" s="139"/>
      <c r="C303" s="139"/>
      <c r="D303" s="139"/>
      <c r="E303" s="139"/>
      <c r="F303" s="139"/>
      <c r="G303" s="139"/>
      <c r="H303" s="147"/>
    </row>
    <row r="304" spans="2:8" ht="14.25" x14ac:dyDescent="0.2">
      <c r="B304" s="139" t="s">
        <v>60</v>
      </c>
      <c r="C304" s="139"/>
      <c r="D304" s="139"/>
      <c r="E304" s="139"/>
      <c r="F304" s="139"/>
      <c r="G304" s="139"/>
      <c r="H304" s="147">
        <v>36</v>
      </c>
    </row>
    <row r="305" spans="1:10" ht="14.25" x14ac:dyDescent="0.2">
      <c r="B305" s="139"/>
      <c r="C305" s="139"/>
      <c r="D305" s="139"/>
      <c r="E305" s="139"/>
      <c r="F305" s="139"/>
      <c r="G305" s="139"/>
      <c r="H305" s="147"/>
    </row>
    <row r="306" spans="1:10" ht="14.25" x14ac:dyDescent="0.2">
      <c r="B306" s="139" t="s">
        <v>61</v>
      </c>
      <c r="C306" s="139"/>
      <c r="D306" s="139"/>
      <c r="E306" s="139"/>
      <c r="F306" s="139"/>
      <c r="G306" s="139"/>
      <c r="H306" s="203" t="s">
        <v>1757</v>
      </c>
    </row>
    <row r="307" spans="1:10" ht="14.25" x14ac:dyDescent="0.2">
      <c r="B307" s="139"/>
      <c r="C307" s="139"/>
      <c r="D307" s="139"/>
      <c r="E307" s="139"/>
      <c r="F307" s="139"/>
      <c r="G307" s="139"/>
      <c r="H307" s="147"/>
    </row>
    <row r="308" spans="1:10" ht="14.25" x14ac:dyDescent="0.2">
      <c r="B308" s="139" t="s">
        <v>62</v>
      </c>
      <c r="C308" s="139"/>
      <c r="D308" s="139"/>
      <c r="E308" s="139"/>
      <c r="F308" s="139"/>
      <c r="G308" s="139"/>
      <c r="H308" s="203" t="s">
        <v>1758</v>
      </c>
    </row>
    <row r="309" spans="1:10" ht="14.25" x14ac:dyDescent="0.2">
      <c r="B309" s="139"/>
      <c r="C309" s="139"/>
      <c r="D309" s="139"/>
      <c r="E309" s="139"/>
      <c r="F309" s="139"/>
      <c r="G309" s="139"/>
      <c r="H309" s="147"/>
    </row>
    <row r="310" spans="1:10" ht="15" x14ac:dyDescent="0.25">
      <c r="A310" s="139"/>
      <c r="B310" s="139"/>
      <c r="C310" s="139"/>
      <c r="D310" s="139"/>
      <c r="E310" s="145" t="s">
        <v>638</v>
      </c>
      <c r="F310" s="139"/>
      <c r="G310" s="139"/>
      <c r="H310" s="147"/>
    </row>
    <row r="311" spans="1:10" ht="15" x14ac:dyDescent="0.25">
      <c r="A311" s="139"/>
      <c r="B311" s="139"/>
      <c r="C311" s="139"/>
      <c r="D311" s="139"/>
      <c r="E311" s="163" t="s">
        <v>1410</v>
      </c>
      <c r="F311" s="139"/>
      <c r="G311" s="139"/>
      <c r="H311" s="147"/>
    </row>
    <row r="312" spans="1:10" ht="15" x14ac:dyDescent="0.25">
      <c r="A312" s="139"/>
      <c r="B312" s="139"/>
      <c r="C312" s="139"/>
      <c r="D312" s="139"/>
      <c r="E312" s="145" t="s">
        <v>101</v>
      </c>
      <c r="F312" s="139"/>
      <c r="G312" s="139"/>
      <c r="H312" s="147"/>
    </row>
    <row r="313" spans="1:10" ht="15" x14ac:dyDescent="0.25">
      <c r="A313" s="139"/>
      <c r="B313" s="139"/>
      <c r="C313" s="139"/>
      <c r="D313" s="139"/>
      <c r="E313" s="145"/>
      <c r="F313" s="139"/>
      <c r="G313" s="139"/>
      <c r="H313" s="147"/>
    </row>
    <row r="314" spans="1:10" ht="14.25" x14ac:dyDescent="0.2">
      <c r="A314" s="139"/>
      <c r="B314" s="139" t="s">
        <v>1098</v>
      </c>
      <c r="C314" s="139"/>
      <c r="D314" s="139"/>
      <c r="E314" s="139"/>
      <c r="F314" s="139"/>
      <c r="G314" s="139"/>
      <c r="H314" s="149">
        <v>41</v>
      </c>
    </row>
    <row r="315" spans="1:10" ht="14.25" x14ac:dyDescent="0.2">
      <c r="A315" s="139"/>
      <c r="B315" s="139"/>
      <c r="C315" s="139"/>
      <c r="D315" s="139"/>
      <c r="E315" s="139"/>
      <c r="F315" s="139"/>
      <c r="G315" s="139"/>
      <c r="H315" s="147"/>
    </row>
    <row r="316" spans="1:10" ht="14.25" hidden="1" x14ac:dyDescent="0.2">
      <c r="A316" s="139"/>
      <c r="B316" s="139" t="s">
        <v>1024</v>
      </c>
      <c r="C316" s="139"/>
      <c r="D316" s="139"/>
      <c r="E316" s="139"/>
      <c r="F316" s="139"/>
      <c r="G316" s="139"/>
      <c r="H316" s="149">
        <v>42</v>
      </c>
    </row>
    <row r="317" spans="1:10" ht="14.25" hidden="1" x14ac:dyDescent="0.2">
      <c r="A317" s="139"/>
      <c r="B317" s="139"/>
      <c r="C317" s="139"/>
      <c r="D317" s="139"/>
      <c r="E317" s="139"/>
      <c r="F317" s="139"/>
      <c r="G317" s="139"/>
      <c r="H317" s="147"/>
    </row>
    <row r="318" spans="1:10" s="13" customFormat="1" ht="14.25" x14ac:dyDescent="0.2">
      <c r="A318" s="150"/>
      <c r="B318" s="151" t="s">
        <v>64</v>
      </c>
      <c r="C318" s="150"/>
      <c r="D318" s="150"/>
      <c r="E318" s="150"/>
      <c r="F318" s="150"/>
      <c r="G318" s="150"/>
      <c r="H318" s="203" t="s">
        <v>2338</v>
      </c>
      <c r="I318" s="122"/>
      <c r="J318" s="122"/>
    </row>
    <row r="319" spans="1:10" s="13" customFormat="1" ht="14.25" x14ac:dyDescent="0.2">
      <c r="A319" s="150"/>
      <c r="B319" s="150"/>
      <c r="C319" s="150"/>
      <c r="D319" s="150"/>
      <c r="E319" s="150"/>
      <c r="F319" s="150"/>
      <c r="G319" s="150"/>
      <c r="H319" s="152"/>
      <c r="I319" s="122"/>
      <c r="J319" s="122"/>
    </row>
    <row r="320" spans="1:10" ht="14.25" x14ac:dyDescent="0.2">
      <c r="A320" s="139"/>
      <c r="B320" s="139" t="s">
        <v>596</v>
      </c>
      <c r="C320" s="139"/>
      <c r="D320" s="139"/>
      <c r="E320" s="139"/>
      <c r="F320" s="139"/>
      <c r="G320" s="139"/>
      <c r="H320" s="203" t="s">
        <v>2339</v>
      </c>
    </row>
    <row r="321" spans="1:8" ht="14.25" x14ac:dyDescent="0.2">
      <c r="A321" s="139"/>
      <c r="B321" s="139"/>
      <c r="C321" s="139"/>
      <c r="D321" s="139"/>
      <c r="E321" s="139"/>
      <c r="F321" s="139"/>
      <c r="G321" s="139"/>
      <c r="H321" s="147"/>
    </row>
    <row r="322" spans="1:8" ht="14.25" x14ac:dyDescent="0.2">
      <c r="A322" s="139"/>
      <c r="B322" s="139" t="s">
        <v>65</v>
      </c>
      <c r="C322" s="139"/>
      <c r="D322" s="139"/>
      <c r="E322" s="139"/>
      <c r="F322" s="139"/>
      <c r="G322" s="139"/>
      <c r="H322" s="149">
        <v>53</v>
      </c>
    </row>
    <row r="323" spans="1:8" ht="14.25" x14ac:dyDescent="0.2">
      <c r="A323" s="139"/>
      <c r="B323" s="139"/>
      <c r="C323" s="139"/>
      <c r="D323" s="139"/>
      <c r="E323" s="139"/>
      <c r="F323" s="139"/>
      <c r="G323" s="139"/>
      <c r="H323" s="147"/>
    </row>
    <row r="324" spans="1:8" ht="14.25" x14ac:dyDescent="0.2">
      <c r="A324" s="139"/>
      <c r="B324" s="139" t="s">
        <v>1625</v>
      </c>
      <c r="C324" s="139"/>
      <c r="D324" s="139"/>
      <c r="E324" s="139"/>
      <c r="F324" s="139"/>
      <c r="G324" s="139"/>
      <c r="H324" s="149">
        <v>54</v>
      </c>
    </row>
    <row r="325" spans="1:8" ht="14.25" x14ac:dyDescent="0.2">
      <c r="A325" s="139"/>
      <c r="B325" s="139"/>
      <c r="C325" s="139"/>
      <c r="D325" s="139"/>
      <c r="E325" s="139"/>
      <c r="F325" s="139"/>
      <c r="G325" s="139"/>
      <c r="H325" s="147"/>
    </row>
    <row r="326" spans="1:8" ht="14.25" x14ac:dyDescent="0.2">
      <c r="A326" s="139"/>
      <c r="B326" s="139" t="s">
        <v>1626</v>
      </c>
      <c r="C326" s="139"/>
      <c r="D326" s="139"/>
      <c r="E326" s="139"/>
      <c r="F326" s="139"/>
      <c r="G326" s="139"/>
      <c r="H326" s="149">
        <v>55</v>
      </c>
    </row>
    <row r="327" spans="1:8" ht="14.25" x14ac:dyDescent="0.2">
      <c r="A327" s="139"/>
      <c r="B327" s="139"/>
      <c r="C327" s="139"/>
      <c r="D327" s="139"/>
      <c r="E327" s="139"/>
      <c r="F327" s="139"/>
      <c r="G327" s="139"/>
      <c r="H327" s="147"/>
    </row>
    <row r="328" spans="1:8" ht="14.25" x14ac:dyDescent="0.2">
      <c r="A328" s="139"/>
      <c r="B328" s="139" t="s">
        <v>1627</v>
      </c>
      <c r="C328" s="139"/>
      <c r="D328" s="139"/>
      <c r="E328" s="139"/>
      <c r="F328" s="139"/>
      <c r="G328" s="139"/>
      <c r="H328" s="149">
        <v>56</v>
      </c>
    </row>
    <row r="329" spans="1:8" ht="14.25" x14ac:dyDescent="0.2">
      <c r="A329" s="139"/>
      <c r="B329" s="139"/>
      <c r="C329" s="139"/>
      <c r="D329" s="139"/>
      <c r="E329" s="139"/>
      <c r="F329" s="139"/>
      <c r="G329" s="139"/>
      <c r="H329" s="147"/>
    </row>
    <row r="330" spans="1:8" ht="14.25" x14ac:dyDescent="0.2">
      <c r="A330" s="139"/>
      <c r="B330" s="139" t="s">
        <v>1617</v>
      </c>
      <c r="C330" s="139"/>
      <c r="D330" s="139"/>
      <c r="E330" s="139"/>
      <c r="F330" s="139"/>
      <c r="G330" s="139"/>
      <c r="H330" s="149">
        <v>61</v>
      </c>
    </row>
    <row r="331" spans="1:8" ht="14.25" x14ac:dyDescent="0.2">
      <c r="A331" s="139"/>
      <c r="B331" s="139"/>
      <c r="C331" s="139"/>
      <c r="D331" s="139"/>
      <c r="E331" s="139"/>
      <c r="F331" s="139"/>
      <c r="G331" s="139"/>
      <c r="H331" s="147"/>
    </row>
    <row r="332" spans="1:8" ht="14.25" x14ac:dyDescent="0.2">
      <c r="A332" s="139"/>
      <c r="B332" s="139" t="s">
        <v>1628</v>
      </c>
      <c r="C332" s="139"/>
      <c r="D332" s="139"/>
      <c r="E332" s="139"/>
      <c r="F332" s="139"/>
      <c r="G332" s="139"/>
      <c r="H332" s="149">
        <v>62</v>
      </c>
    </row>
    <row r="333" spans="1:8" ht="14.25" x14ac:dyDescent="0.2">
      <c r="A333" s="139"/>
      <c r="B333" s="139"/>
      <c r="C333" s="139"/>
      <c r="D333" s="139"/>
      <c r="E333" s="139"/>
      <c r="F333" s="139"/>
      <c r="G333" s="139"/>
      <c r="H333" s="147"/>
    </row>
    <row r="334" spans="1:8" ht="14.25" x14ac:dyDescent="0.2">
      <c r="A334" s="139"/>
      <c r="B334" s="139" t="s">
        <v>66</v>
      </c>
      <c r="C334" s="139"/>
      <c r="D334" s="139"/>
      <c r="E334" s="139"/>
      <c r="F334" s="139"/>
      <c r="G334" s="139"/>
      <c r="H334" s="203" t="s">
        <v>2340</v>
      </c>
    </row>
    <row r="335" spans="1:8" ht="14.25" x14ac:dyDescent="0.2">
      <c r="A335" s="139"/>
      <c r="B335" s="139"/>
      <c r="C335" s="139"/>
      <c r="D335" s="139"/>
      <c r="E335" s="139"/>
      <c r="F335" s="139"/>
      <c r="G335" s="139"/>
      <c r="H335" s="147"/>
    </row>
    <row r="336" spans="1:8" ht="15" x14ac:dyDescent="0.25">
      <c r="A336" s="148" t="s">
        <v>67</v>
      </c>
      <c r="B336" s="139"/>
      <c r="C336" s="139"/>
      <c r="D336" s="139"/>
      <c r="E336" s="139"/>
      <c r="F336" s="139"/>
      <c r="G336" s="139"/>
      <c r="H336" s="147"/>
    </row>
    <row r="337" spans="1:8" ht="14.25" x14ac:dyDescent="0.2">
      <c r="A337" s="139"/>
      <c r="B337" s="139"/>
      <c r="C337" s="139"/>
      <c r="D337" s="139"/>
      <c r="E337" s="139"/>
      <c r="F337" s="139"/>
      <c r="G337" s="139"/>
      <c r="H337" s="147"/>
    </row>
    <row r="338" spans="1:8" ht="14.25" x14ac:dyDescent="0.2">
      <c r="A338" s="139"/>
      <c r="B338" s="139" t="s">
        <v>68</v>
      </c>
      <c r="C338" s="139"/>
      <c r="D338" s="139"/>
      <c r="E338" s="139"/>
      <c r="F338" s="139"/>
      <c r="G338" s="139"/>
      <c r="H338" s="149">
        <v>57</v>
      </c>
    </row>
    <row r="339" spans="1:8" ht="14.25" x14ac:dyDescent="0.2">
      <c r="A339" s="139"/>
      <c r="B339" s="139"/>
      <c r="C339" s="139"/>
      <c r="D339" s="139"/>
      <c r="E339" s="139"/>
      <c r="F339" s="139"/>
      <c r="G339" s="139"/>
      <c r="H339" s="147"/>
    </row>
    <row r="340" spans="1:8" ht="15" x14ac:dyDescent="0.25">
      <c r="A340" s="148" t="s">
        <v>69</v>
      </c>
      <c r="B340" s="139"/>
      <c r="C340" s="139"/>
      <c r="D340" s="139"/>
      <c r="E340" s="139"/>
      <c r="F340" s="139"/>
      <c r="G340" s="139"/>
      <c r="H340" s="147"/>
    </row>
    <row r="341" spans="1:8" ht="14.25" x14ac:dyDescent="0.2">
      <c r="A341" s="139"/>
      <c r="B341" s="139"/>
      <c r="C341" s="139"/>
      <c r="D341" s="139"/>
      <c r="E341" s="139"/>
      <c r="F341" s="139"/>
      <c r="G341" s="139"/>
      <c r="H341" s="147"/>
    </row>
    <row r="342" spans="1:8" ht="14.25" hidden="1" x14ac:dyDescent="0.2">
      <c r="A342" s="139"/>
      <c r="B342" s="139" t="s">
        <v>1023</v>
      </c>
      <c r="C342" s="139"/>
      <c r="D342" s="139"/>
      <c r="E342" s="139"/>
      <c r="F342" s="139"/>
      <c r="G342" s="139"/>
      <c r="H342" s="149"/>
    </row>
    <row r="343" spans="1:8" ht="14.25" hidden="1" x14ac:dyDescent="0.2">
      <c r="A343" s="139"/>
      <c r="B343" s="139"/>
      <c r="C343" s="139"/>
      <c r="D343" s="139"/>
      <c r="E343" s="139"/>
      <c r="F343" s="139"/>
      <c r="G343" s="139"/>
      <c r="H343" s="147"/>
    </row>
    <row r="344" spans="1:8" ht="14.25" x14ac:dyDescent="0.2">
      <c r="A344" s="139"/>
      <c r="B344" s="139" t="s">
        <v>910</v>
      </c>
      <c r="C344" s="139"/>
      <c r="D344" s="139"/>
      <c r="E344" s="139"/>
      <c r="F344" s="139"/>
      <c r="G344" s="139"/>
      <c r="H344" s="149">
        <v>58</v>
      </c>
    </row>
    <row r="345" spans="1:8" ht="14.25" x14ac:dyDescent="0.2">
      <c r="A345" s="139"/>
      <c r="B345" s="139"/>
      <c r="C345" s="139"/>
      <c r="D345" s="139"/>
      <c r="E345" s="139"/>
      <c r="F345" s="139"/>
      <c r="G345" s="139"/>
      <c r="H345" s="147"/>
    </row>
    <row r="346" spans="1:8" ht="14.25" x14ac:dyDescent="0.2">
      <c r="A346" s="139"/>
      <c r="B346" s="139" t="s">
        <v>911</v>
      </c>
      <c r="C346" s="139"/>
      <c r="D346" s="139"/>
      <c r="E346" s="139"/>
      <c r="F346" s="139"/>
      <c r="G346" s="139"/>
      <c r="H346" s="149">
        <v>59</v>
      </c>
    </row>
    <row r="347" spans="1:8" ht="14.25" x14ac:dyDescent="0.2">
      <c r="A347" s="139"/>
      <c r="B347" s="139"/>
      <c r="C347" s="139"/>
      <c r="D347" s="139"/>
      <c r="E347" s="139"/>
      <c r="F347" s="139"/>
      <c r="G347" s="139"/>
      <c r="H347" s="147"/>
    </row>
    <row r="348" spans="1:8" ht="14.25" x14ac:dyDescent="0.2">
      <c r="A348" s="139"/>
      <c r="B348" s="139" t="s">
        <v>323</v>
      </c>
      <c r="C348" s="139"/>
      <c r="D348" s="139"/>
      <c r="E348" s="139"/>
      <c r="F348" s="139"/>
      <c r="G348" s="139"/>
      <c r="H348" s="149">
        <v>60</v>
      </c>
    </row>
    <row r="349" spans="1:8" ht="14.25" x14ac:dyDescent="0.2">
      <c r="A349" s="139"/>
      <c r="B349" s="139"/>
      <c r="C349" s="139"/>
      <c r="D349" s="139"/>
      <c r="E349" s="139"/>
      <c r="F349" s="139"/>
      <c r="G349" s="139"/>
      <c r="H349" s="147"/>
    </row>
    <row r="350" spans="1:8" ht="15" x14ac:dyDescent="0.25">
      <c r="A350" s="148" t="s">
        <v>9</v>
      </c>
      <c r="B350" s="139"/>
      <c r="C350" s="139"/>
      <c r="D350" s="139"/>
      <c r="E350" s="139"/>
      <c r="F350" s="139"/>
      <c r="G350" s="139"/>
      <c r="H350" s="147"/>
    </row>
    <row r="351" spans="1:8" ht="14.25" x14ac:dyDescent="0.2">
      <c r="A351" s="139"/>
      <c r="B351" s="139"/>
      <c r="C351" s="139"/>
      <c r="D351" s="139"/>
      <c r="E351" s="139"/>
      <c r="F351" s="139"/>
      <c r="G351" s="139"/>
      <c r="H351" s="147"/>
    </row>
    <row r="352" spans="1:8" ht="14.25" x14ac:dyDescent="0.2">
      <c r="A352" s="139"/>
      <c r="B352" s="139" t="s">
        <v>10</v>
      </c>
      <c r="C352" s="139"/>
      <c r="D352" s="139"/>
      <c r="E352" s="139"/>
      <c r="F352" s="139"/>
      <c r="G352" s="139"/>
      <c r="H352" s="149">
        <v>65</v>
      </c>
    </row>
    <row r="353" spans="1:17" ht="14.25" x14ac:dyDescent="0.2">
      <c r="A353" s="139"/>
      <c r="B353" s="139"/>
      <c r="C353" s="139"/>
      <c r="D353" s="139"/>
      <c r="E353" s="139"/>
      <c r="F353" s="139"/>
      <c r="G353" s="139"/>
      <c r="H353" s="147"/>
    </row>
    <row r="354" spans="1:17" ht="14.25" x14ac:dyDescent="0.2">
      <c r="A354" s="139" t="s">
        <v>1410</v>
      </c>
      <c r="B354" s="139" t="s">
        <v>12</v>
      </c>
      <c r="C354" s="139"/>
      <c r="D354" s="139"/>
      <c r="E354" s="139"/>
      <c r="F354" s="139"/>
      <c r="G354" s="139"/>
      <c r="H354" s="149">
        <v>66</v>
      </c>
    </row>
    <row r="355" spans="1:17" ht="14.25" x14ac:dyDescent="0.2">
      <c r="A355" s="139"/>
      <c r="B355" s="139"/>
      <c r="C355" s="139"/>
      <c r="D355" s="139"/>
      <c r="E355" s="139"/>
      <c r="F355" s="139"/>
      <c r="G355" s="139"/>
      <c r="H355" s="140"/>
    </row>
    <row r="356" spans="1:17" ht="14.25" x14ac:dyDescent="0.2">
      <c r="A356" s="139"/>
      <c r="B356" s="139"/>
      <c r="C356" s="139"/>
      <c r="D356" s="139"/>
      <c r="E356" s="139"/>
      <c r="F356" s="139"/>
      <c r="G356" s="139"/>
      <c r="H356" s="140"/>
    </row>
    <row r="357" spans="1:17" ht="14.25" x14ac:dyDescent="0.2">
      <c r="A357" s="139"/>
      <c r="B357" s="139"/>
      <c r="C357" s="139"/>
      <c r="D357" s="139"/>
      <c r="E357" s="139"/>
      <c r="F357" s="139"/>
      <c r="G357" s="139"/>
      <c r="H357" s="140"/>
    </row>
    <row r="363" spans="1:17" ht="15" x14ac:dyDescent="0.25">
      <c r="A363" s="153" t="s">
        <v>638</v>
      </c>
      <c r="B363" s="154"/>
      <c r="C363" s="154"/>
      <c r="D363" s="154"/>
      <c r="E363" s="154"/>
      <c r="F363" s="154"/>
      <c r="G363" s="154"/>
      <c r="H363" s="155"/>
    </row>
    <row r="364" spans="1:17" ht="15" x14ac:dyDescent="0.25">
      <c r="A364" s="153" t="s">
        <v>1825</v>
      </c>
      <c r="B364" s="154"/>
      <c r="C364" s="154"/>
      <c r="D364" s="154"/>
      <c r="E364" s="154"/>
      <c r="F364" s="154"/>
      <c r="G364" s="154"/>
      <c r="H364" s="155"/>
      <c r="I364" s="127" t="s">
        <v>1634</v>
      </c>
      <c r="J364" s="248">
        <v>0.3548</v>
      </c>
    </row>
    <row r="365" spans="1:17" ht="14.25" x14ac:dyDescent="0.2">
      <c r="A365" s="154"/>
      <c r="B365" s="154"/>
      <c r="C365" s="154"/>
      <c r="D365" s="154"/>
      <c r="E365" s="154"/>
      <c r="F365" s="154"/>
      <c r="G365" s="154"/>
      <c r="H365" s="155"/>
      <c r="I365" s="234" t="s">
        <v>821</v>
      </c>
      <c r="J365" s="220">
        <v>6737600447</v>
      </c>
      <c r="P365">
        <v>0.3548</v>
      </c>
      <c r="Q365">
        <f>+J364-P365</f>
        <v>0</v>
      </c>
    </row>
    <row r="366" spans="1:17" ht="14.25" x14ac:dyDescent="0.2">
      <c r="A366" s="154"/>
      <c r="B366" s="154"/>
      <c r="C366" s="154"/>
      <c r="D366" s="154"/>
      <c r="E366" s="154"/>
      <c r="F366" s="154"/>
      <c r="G366" s="154"/>
      <c r="H366" s="155"/>
      <c r="I366" s="234" t="s">
        <v>1762</v>
      </c>
      <c r="J366" s="220">
        <v>14325564</v>
      </c>
      <c r="K366" s="105" t="s">
        <v>2330</v>
      </c>
      <c r="M366" s="5" t="s">
        <v>1630</v>
      </c>
      <c r="P366" s="105" t="s">
        <v>1817</v>
      </c>
    </row>
    <row r="367" spans="1:17" ht="14.25" x14ac:dyDescent="0.2">
      <c r="A367" s="154" t="s">
        <v>259</v>
      </c>
      <c r="B367" s="154"/>
      <c r="C367" s="154"/>
      <c r="D367" s="154"/>
      <c r="E367" s="154"/>
      <c r="F367" s="156">
        <f>+J368</f>
        <v>6751926011</v>
      </c>
      <c r="G367" s="157" t="s">
        <v>1410</v>
      </c>
      <c r="H367" s="155"/>
      <c r="I367" s="127" t="s">
        <v>1763</v>
      </c>
      <c r="J367" s="220">
        <v>0</v>
      </c>
      <c r="K367" s="5"/>
      <c r="M367" s="9">
        <f>J365+J366</f>
        <v>6751926011</v>
      </c>
      <c r="N367" s="209"/>
      <c r="O367" s="9"/>
      <c r="P367" s="207">
        <v>6652118808</v>
      </c>
      <c r="Q367" s="207">
        <f>+M367-P367</f>
        <v>99807203</v>
      </c>
    </row>
    <row r="368" spans="1:17" ht="14.25" x14ac:dyDescent="0.2">
      <c r="A368" s="154" t="s">
        <v>260</v>
      </c>
      <c r="B368" s="154"/>
      <c r="C368" s="154"/>
      <c r="D368" s="154"/>
      <c r="E368" s="154"/>
      <c r="F368" s="158">
        <v>-565439638</v>
      </c>
      <c r="G368" s="159" t="s">
        <v>1410</v>
      </c>
      <c r="H368" s="155" t="s">
        <v>1410</v>
      </c>
      <c r="I368" s="123"/>
      <c r="J368" s="236">
        <f>SUM(J365:J367)</f>
        <v>6751926011</v>
      </c>
      <c r="M368" s="11">
        <v>-557277076</v>
      </c>
      <c r="N368" s="209"/>
      <c r="O368" s="9"/>
      <c r="P368" s="250">
        <v>-565439638</v>
      </c>
      <c r="Q368" s="250">
        <f t="shared" ref="Q368:Q375" si="0">+M368-P368</f>
        <v>8162562</v>
      </c>
    </row>
    <row r="369" spans="1:17" ht="14.25" x14ac:dyDescent="0.2">
      <c r="A369" s="154" t="s">
        <v>837</v>
      </c>
      <c r="B369" s="154"/>
      <c r="C369" s="154"/>
      <c r="D369" s="154"/>
      <c r="E369" s="154"/>
      <c r="F369" s="160">
        <f>SUM(F367:F368)</f>
        <v>6186486373</v>
      </c>
      <c r="G369" s="161"/>
      <c r="H369" s="155"/>
      <c r="I369" s="123"/>
      <c r="J369" s="124"/>
      <c r="M369" s="9">
        <f>SUM(M367:M368)</f>
        <v>6194648935</v>
      </c>
      <c r="N369" s="209"/>
      <c r="O369" s="9"/>
      <c r="P369" s="9">
        <v>6086679170</v>
      </c>
      <c r="Q369" s="9">
        <f t="shared" si="0"/>
        <v>107969765</v>
      </c>
    </row>
    <row r="370" spans="1:17" ht="14.25" x14ac:dyDescent="0.2">
      <c r="A370" s="161" t="s">
        <v>1812</v>
      </c>
      <c r="B370" s="161"/>
      <c r="C370" s="161"/>
      <c r="D370" s="154"/>
      <c r="E370" s="154"/>
      <c r="F370" s="156">
        <f>F369/100*J364</f>
        <v>21949653.651404001</v>
      </c>
      <c r="G370" s="161"/>
      <c r="H370" s="155"/>
      <c r="I370" s="123"/>
      <c r="J370" s="247"/>
      <c r="M370" s="9">
        <f>M369/100*J364</f>
        <v>21978614.421380002</v>
      </c>
      <c r="N370" s="209"/>
      <c r="O370" s="9"/>
      <c r="P370" s="9">
        <v>21595537.695160002</v>
      </c>
      <c r="Q370" s="9">
        <f t="shared" si="0"/>
        <v>383076.72622000054</v>
      </c>
    </row>
    <row r="371" spans="1:17" ht="14.25" x14ac:dyDescent="0.2">
      <c r="A371" s="154" t="s">
        <v>838</v>
      </c>
      <c r="B371" s="154"/>
      <c r="C371" s="154"/>
      <c r="D371" s="154"/>
      <c r="E371" s="154"/>
      <c r="F371" s="158">
        <v>1719844.42</v>
      </c>
      <c r="G371" s="161"/>
      <c r="H371" s="155"/>
      <c r="I371" s="123"/>
      <c r="J371" s="235">
        <f>F370/33.98</f>
        <v>645958.02387886995</v>
      </c>
      <c r="M371" s="11">
        <f>+F371</f>
        <v>1719844.42</v>
      </c>
      <c r="N371" s="209"/>
      <c r="O371" s="9"/>
      <c r="P371" s="11">
        <v>1719844.42</v>
      </c>
      <c r="Q371" s="11">
        <f t="shared" si="0"/>
        <v>0</v>
      </c>
    </row>
    <row r="372" spans="1:17" ht="15" thickBot="1" x14ac:dyDescent="0.25">
      <c r="A372" s="154" t="s">
        <v>839</v>
      </c>
      <c r="B372" s="154"/>
      <c r="C372" s="154"/>
      <c r="D372" s="154"/>
      <c r="E372" s="154"/>
      <c r="F372" s="162">
        <f>SUM(F370:F371)</f>
        <v>23669498.071404003</v>
      </c>
      <c r="G372" s="161"/>
      <c r="H372" s="155"/>
      <c r="I372" s="123"/>
      <c r="M372" s="9">
        <f>SUM(M370:M371)</f>
        <v>23698458.84138</v>
      </c>
      <c r="N372" s="209"/>
      <c r="O372" s="9"/>
      <c r="P372" s="9">
        <v>23315382.115160003</v>
      </c>
      <c r="Q372" s="9">
        <f t="shared" si="0"/>
        <v>383076.72621999681</v>
      </c>
    </row>
    <row r="373" spans="1:17" ht="15" thickTop="1" x14ac:dyDescent="0.2">
      <c r="A373" s="154"/>
      <c r="B373" s="154"/>
      <c r="C373" s="154"/>
      <c r="D373" s="154"/>
      <c r="E373" s="154"/>
      <c r="F373" s="161"/>
      <c r="G373" s="161"/>
      <c r="H373" s="155"/>
      <c r="L373" s="238" t="s">
        <v>1770</v>
      </c>
      <c r="M373" s="209">
        <f>+M372*0.98</f>
        <v>23224489.664552398</v>
      </c>
      <c r="N373" s="209"/>
      <c r="O373" s="9"/>
      <c r="P373" s="209">
        <v>22849074.472856801</v>
      </c>
      <c r="Q373" s="209">
        <f t="shared" si="0"/>
        <v>375415.19169559702</v>
      </c>
    </row>
    <row r="374" spans="1:17" ht="14.25" x14ac:dyDescent="0.2">
      <c r="A374" s="154"/>
      <c r="B374" s="154"/>
      <c r="C374" s="154"/>
      <c r="D374" s="154"/>
      <c r="E374" s="154"/>
      <c r="F374" s="154"/>
      <c r="G374" s="154"/>
      <c r="H374" s="155"/>
      <c r="L374" s="13" t="s">
        <v>1764</v>
      </c>
      <c r="M374" s="200">
        <v>22849074</v>
      </c>
      <c r="N374" s="209"/>
      <c r="O374" s="9"/>
      <c r="P374" s="200">
        <v>21247050</v>
      </c>
      <c r="Q374" s="200">
        <f t="shared" si="0"/>
        <v>1602024</v>
      </c>
    </row>
    <row r="375" spans="1:17" ht="15" x14ac:dyDescent="0.25">
      <c r="A375" s="154"/>
      <c r="B375" s="154"/>
      <c r="C375" s="154"/>
      <c r="D375" s="154"/>
      <c r="E375" s="154"/>
      <c r="F375" s="154"/>
      <c r="G375" s="163" t="s">
        <v>13</v>
      </c>
      <c r="H375" s="164" t="s">
        <v>14</v>
      </c>
      <c r="M375" s="209">
        <f>+M373-M374</f>
        <v>375415.66455239803</v>
      </c>
      <c r="N375" s="209"/>
      <c r="O375" s="9"/>
      <c r="P375" s="209">
        <v>1602024.472856801</v>
      </c>
      <c r="Q375" s="209">
        <f t="shared" si="0"/>
        <v>-1226608.808304403</v>
      </c>
    </row>
    <row r="376" spans="1:17" ht="15" x14ac:dyDescent="0.25">
      <c r="A376" s="154"/>
      <c r="B376" s="154"/>
      <c r="C376" s="154"/>
      <c r="D376" s="154"/>
      <c r="E376" s="165" t="s">
        <v>15</v>
      </c>
      <c r="F376" s="165" t="s">
        <v>1095</v>
      </c>
      <c r="G376" s="165" t="s">
        <v>863</v>
      </c>
      <c r="H376" s="166" t="s">
        <v>1096</v>
      </c>
      <c r="J376" s="125"/>
      <c r="P376" s="207"/>
    </row>
    <row r="377" spans="1:17" ht="14.25" x14ac:dyDescent="0.2">
      <c r="A377" s="154" t="s">
        <v>1097</v>
      </c>
      <c r="B377" s="154"/>
      <c r="C377" s="154"/>
      <c r="D377" s="154"/>
      <c r="E377" s="291">
        <f>$J$364*F377</f>
        <v>0.27848252000000001</v>
      </c>
      <c r="F377" s="167">
        <v>0.78490000000000004</v>
      </c>
      <c r="G377" s="156">
        <f>+$F$372*F377</f>
        <v>18578189.036245003</v>
      </c>
      <c r="H377" s="168">
        <f t="shared" ref="H377:H383" si="1">G377*98%</f>
        <v>18206625.255520102</v>
      </c>
      <c r="J377" s="125"/>
    </row>
    <row r="378" spans="1:17" ht="14.25" x14ac:dyDescent="0.2">
      <c r="A378" s="154" t="s">
        <v>58</v>
      </c>
      <c r="B378" s="154"/>
      <c r="C378" s="154" t="s">
        <v>1410</v>
      </c>
      <c r="D378" s="154"/>
      <c r="E378" s="291">
        <f>$J$364*F378</f>
        <v>3.4060799999999997E-3</v>
      </c>
      <c r="F378" s="167">
        <v>9.5999999999999992E-3</v>
      </c>
      <c r="G378" s="169">
        <f>+$F$372*F378</f>
        <v>227227.18148547842</v>
      </c>
      <c r="H378" s="157">
        <f t="shared" si="1"/>
        <v>222682.63785576884</v>
      </c>
      <c r="I378" s="288"/>
    </row>
    <row r="379" spans="1:17" ht="14.25" x14ac:dyDescent="0.2">
      <c r="A379" s="154" t="s">
        <v>57</v>
      </c>
      <c r="B379" s="154"/>
      <c r="C379" s="154"/>
      <c r="D379" s="154"/>
      <c r="E379" s="291">
        <f t="shared" ref="E379:E383" si="2">$J$364*F379</f>
        <v>4.5769200000000003E-2</v>
      </c>
      <c r="F379" s="167">
        <v>0.129</v>
      </c>
      <c r="G379" s="169">
        <f t="shared" ref="G379:G383" si="3">+$F$372*F379</f>
        <v>3053365.2512111166</v>
      </c>
      <c r="H379" s="157">
        <f t="shared" si="1"/>
        <v>2992297.9461868941</v>
      </c>
    </row>
    <row r="380" spans="1:17" ht="14.25" x14ac:dyDescent="0.2">
      <c r="A380" s="154" t="s">
        <v>1805</v>
      </c>
      <c r="B380" s="154"/>
      <c r="C380" s="154"/>
      <c r="D380" s="154"/>
      <c r="E380" s="291">
        <f t="shared" si="2"/>
        <v>3.548E-4</v>
      </c>
      <c r="F380" s="167">
        <v>1E-3</v>
      </c>
      <c r="G380" s="169">
        <f t="shared" ref="G380" si="4">+$F$372*F380</f>
        <v>23669.498071404003</v>
      </c>
      <c r="H380" s="157">
        <f t="shared" ref="H380" si="5">G380*98%</f>
        <v>23196.108109975921</v>
      </c>
    </row>
    <row r="381" spans="1:17" ht="14.25" x14ac:dyDescent="0.2">
      <c r="A381" s="154" t="s">
        <v>61</v>
      </c>
      <c r="B381" s="154"/>
      <c r="C381" s="154"/>
      <c r="D381" s="154"/>
      <c r="E381" s="291">
        <f t="shared" si="2"/>
        <v>1.5079000000000002E-2</v>
      </c>
      <c r="F381" s="167">
        <v>4.2500000000000003E-2</v>
      </c>
      <c r="G381" s="169">
        <f t="shared" si="3"/>
        <v>1005953.6680346702</v>
      </c>
      <c r="H381" s="157">
        <f t="shared" si="1"/>
        <v>985834.59467397677</v>
      </c>
      <c r="J381" s="112"/>
    </row>
    <row r="382" spans="1:17" ht="14.25" x14ac:dyDescent="0.2">
      <c r="A382" s="154" t="s">
        <v>68</v>
      </c>
      <c r="B382" s="154"/>
      <c r="C382" s="154"/>
      <c r="D382" s="154"/>
      <c r="E382" s="291">
        <f t="shared" si="2"/>
        <v>7.5572399999999998E-3</v>
      </c>
      <c r="F382" s="167">
        <v>2.1299999999999999E-2</v>
      </c>
      <c r="G382" s="169">
        <f t="shared" si="3"/>
        <v>504160.30892090523</v>
      </c>
      <c r="H382" s="157">
        <f t="shared" si="1"/>
        <v>494077.1027424871</v>
      </c>
      <c r="J382" s="125"/>
    </row>
    <row r="383" spans="1:17" ht="14.25" x14ac:dyDescent="0.2">
      <c r="A383" s="154" t="s">
        <v>910</v>
      </c>
      <c r="B383" s="154"/>
      <c r="C383" s="154"/>
      <c r="D383" s="154"/>
      <c r="E383" s="292">
        <f t="shared" si="2"/>
        <v>4.1511600000000001E-3</v>
      </c>
      <c r="F383" s="237">
        <v>1.17E-2</v>
      </c>
      <c r="G383" s="158">
        <f t="shared" si="3"/>
        <v>276933.12743542681</v>
      </c>
      <c r="H383" s="170">
        <f t="shared" si="1"/>
        <v>271394.46488671826</v>
      </c>
      <c r="I383" s="249"/>
      <c r="J383" s="112"/>
    </row>
    <row r="384" spans="1:17" ht="15" x14ac:dyDescent="0.25">
      <c r="A384" s="154"/>
      <c r="B384" s="154"/>
      <c r="D384" s="171" t="s">
        <v>1099</v>
      </c>
      <c r="E384" s="214">
        <f>SUM(E377:E383)</f>
        <v>0.3548</v>
      </c>
      <c r="F384" s="167">
        <f>SUM(F377:F383)</f>
        <v>1</v>
      </c>
      <c r="G384" s="156">
        <f>SUM(G377:G383)</f>
        <v>23669498.071404003</v>
      </c>
      <c r="H384" s="168">
        <f>SUM(H377:H383)</f>
        <v>23196108.109975919</v>
      </c>
      <c r="J384" s="94"/>
    </row>
    <row r="385" spans="1:15" ht="14.25" x14ac:dyDescent="0.2">
      <c r="A385" s="154"/>
      <c r="B385" s="154"/>
      <c r="C385" s="154"/>
      <c r="D385" s="154"/>
      <c r="E385" s="245"/>
      <c r="F385" s="161"/>
      <c r="G385" s="156"/>
      <c r="H385" s="213"/>
    </row>
    <row r="386" spans="1:15" ht="15" x14ac:dyDescent="0.25">
      <c r="A386" s="154"/>
      <c r="B386" s="154"/>
      <c r="C386" s="154"/>
      <c r="D386" s="154"/>
      <c r="E386" s="246"/>
      <c r="F386" s="154"/>
      <c r="G386" s="154"/>
      <c r="H386" s="155"/>
      <c r="I386" s="88" t="s">
        <v>1729</v>
      </c>
      <c r="J386" s="211" t="s">
        <v>1095</v>
      </c>
      <c r="K386" s="209">
        <v>700000</v>
      </c>
      <c r="L386" s="105" t="s">
        <v>2323</v>
      </c>
    </row>
    <row r="387" spans="1:15" ht="14.25" x14ac:dyDescent="0.2">
      <c r="A387" s="161" t="s">
        <v>1100</v>
      </c>
      <c r="B387" s="161"/>
      <c r="C387" s="161"/>
      <c r="D387" s="161"/>
      <c r="E387" s="161"/>
      <c r="F387" s="154"/>
      <c r="G387" s="154"/>
      <c r="H387" s="155"/>
      <c r="I387" s="154" t="str">
        <f t="shared" ref="I387:I393" si="6">+A377</f>
        <v xml:space="preserve">GENERAL FUND </v>
      </c>
      <c r="J387" s="167">
        <f t="shared" ref="J387:J393" si="7">+F377</f>
        <v>0.78490000000000004</v>
      </c>
      <c r="K387" s="209">
        <f t="shared" ref="K387:K393" si="8">+J387*$K$386</f>
        <v>549430</v>
      </c>
      <c r="O387" s="207"/>
    </row>
    <row r="388" spans="1:15" ht="14.25" x14ac:dyDescent="0.2">
      <c r="A388" s="154"/>
      <c r="B388" s="154"/>
      <c r="C388" s="154"/>
      <c r="D388" s="154"/>
      <c r="E388" s="154"/>
      <c r="F388" s="154"/>
      <c r="G388" s="154"/>
      <c r="H388" s="155"/>
      <c r="I388" s="154" t="str">
        <f t="shared" si="6"/>
        <v>JURY FUND</v>
      </c>
      <c r="J388" s="167">
        <f t="shared" si="7"/>
        <v>9.5999999999999992E-3</v>
      </c>
      <c r="K388" s="209">
        <f t="shared" si="8"/>
        <v>6719.9999999999991</v>
      </c>
      <c r="O388" s="207"/>
    </row>
    <row r="389" spans="1:15" ht="14.25" x14ac:dyDescent="0.2">
      <c r="E389" s="215"/>
      <c r="I389" s="154" t="str">
        <f t="shared" si="6"/>
        <v>ROAD &amp; BRIDGE FUND</v>
      </c>
      <c r="J389" s="167">
        <f t="shared" si="7"/>
        <v>0.129</v>
      </c>
      <c r="K389" s="209">
        <f t="shared" si="8"/>
        <v>90300</v>
      </c>
      <c r="O389" s="207"/>
    </row>
    <row r="390" spans="1:15" ht="14.25" x14ac:dyDescent="0.2">
      <c r="E390" s="215"/>
      <c r="I390" s="154" t="str">
        <f t="shared" si="6"/>
        <v>AIRPORT FUND</v>
      </c>
      <c r="J390" s="167">
        <f t="shared" si="7"/>
        <v>1E-3</v>
      </c>
      <c r="K390" s="209">
        <f t="shared" si="8"/>
        <v>700</v>
      </c>
      <c r="O390" s="207"/>
    </row>
    <row r="391" spans="1:15" ht="14.25" x14ac:dyDescent="0.2">
      <c r="E391" s="215"/>
      <c r="I391" s="154" t="str">
        <f t="shared" si="6"/>
        <v>JUVENILE SERVICES FUND</v>
      </c>
      <c r="J391" s="167">
        <f t="shared" si="7"/>
        <v>4.2500000000000003E-2</v>
      </c>
      <c r="K391" s="209">
        <f t="shared" si="8"/>
        <v>29750.000000000004</v>
      </c>
      <c r="O391" s="207"/>
    </row>
    <row r="392" spans="1:15" ht="14.25" x14ac:dyDescent="0.2">
      <c r="E392" s="215"/>
      <c r="I392" s="154" t="str">
        <f t="shared" si="6"/>
        <v>INTEREST &amp; SINKING FUND</v>
      </c>
      <c r="J392" s="167">
        <f t="shared" si="7"/>
        <v>2.1299999999999999E-2</v>
      </c>
      <c r="K392" s="209">
        <f t="shared" si="8"/>
        <v>14910</v>
      </c>
      <c r="O392" s="207"/>
    </row>
    <row r="393" spans="1:15" ht="14.25" x14ac:dyDescent="0.2">
      <c r="E393" s="215"/>
      <c r="I393" s="154" t="str">
        <f t="shared" si="6"/>
        <v>PERMANENT IMPROVEMENT FUND</v>
      </c>
      <c r="J393" s="167">
        <f t="shared" si="7"/>
        <v>1.17E-2</v>
      </c>
      <c r="K393" s="209">
        <f t="shared" si="8"/>
        <v>8190</v>
      </c>
      <c r="O393" s="207"/>
    </row>
    <row r="394" spans="1:15" ht="14.25" x14ac:dyDescent="0.2">
      <c r="E394" s="215"/>
      <c r="J394" s="172">
        <f>SUM(J387:J393)</f>
        <v>1</v>
      </c>
      <c r="K394" s="212">
        <f>SUM(K387:K393)</f>
        <v>700000</v>
      </c>
      <c r="O394" s="207"/>
    </row>
    <row r="395" spans="1:15" x14ac:dyDescent="0.2">
      <c r="E395" s="215"/>
      <c r="K395" s="209"/>
      <c r="O395" s="50"/>
    </row>
    <row r="396" spans="1:15" x14ac:dyDescent="0.2">
      <c r="E396" s="215"/>
      <c r="K396" s="209"/>
      <c r="O396" s="207"/>
    </row>
    <row r="397" spans="1:15" x14ac:dyDescent="0.2">
      <c r="O397" s="50"/>
    </row>
    <row r="398" spans="1:15" x14ac:dyDescent="0.2">
      <c r="O398" s="217"/>
    </row>
    <row r="409" spans="1:6" x14ac:dyDescent="0.2">
      <c r="E409" s="13"/>
    </row>
    <row r="410" spans="1:6" ht="13.5" customHeight="1" x14ac:dyDescent="0.2">
      <c r="E410" s="3" t="s">
        <v>1410</v>
      </c>
    </row>
    <row r="411" spans="1:6" ht="13.5" customHeight="1" x14ac:dyDescent="0.2"/>
    <row r="412" spans="1:6" ht="13.5" customHeight="1" x14ac:dyDescent="0.2">
      <c r="E412" s="3"/>
    </row>
    <row r="413" spans="1:6" ht="13.5" customHeight="1" x14ac:dyDescent="0.2">
      <c r="E413" s="173" t="s">
        <v>597</v>
      </c>
    </row>
    <row r="414" spans="1:6" x14ac:dyDescent="0.2">
      <c r="E414" s="3" t="s">
        <v>1410</v>
      </c>
    </row>
    <row r="415" spans="1:6" x14ac:dyDescent="0.2">
      <c r="A415" s="88" t="s">
        <v>638</v>
      </c>
      <c r="B415" s="62"/>
      <c r="C415" s="62"/>
    </row>
    <row r="416" spans="1:6" x14ac:dyDescent="0.2">
      <c r="A416" s="88" t="s">
        <v>2304</v>
      </c>
      <c r="B416" s="62"/>
      <c r="C416" s="62"/>
      <c r="D416" s="62"/>
      <c r="E416" s="62"/>
      <c r="F416" s="62"/>
    </row>
    <row r="417" spans="1:8" x14ac:dyDescent="0.2">
      <c r="G417" s="1" t="s">
        <v>1410</v>
      </c>
    </row>
    <row r="418" spans="1:8" x14ac:dyDescent="0.2">
      <c r="F418" s="7" t="s">
        <v>1101</v>
      </c>
      <c r="G418" s="7" t="s">
        <v>1102</v>
      </c>
      <c r="H418" s="121" t="s">
        <v>1099</v>
      </c>
    </row>
    <row r="419" spans="1:8" x14ac:dyDescent="0.2">
      <c r="A419" s="62" t="s">
        <v>105</v>
      </c>
      <c r="B419" s="62"/>
      <c r="C419" s="62"/>
      <c r="D419" s="62"/>
      <c r="E419" s="62"/>
      <c r="F419" s="80">
        <f>-6158353.95+12748927.34</f>
        <v>6590573.3899999997</v>
      </c>
      <c r="G419" s="80">
        <v>7038848.4800000004</v>
      </c>
      <c r="H419" s="80">
        <f>SUM(F419:G419)</f>
        <v>13629421.870000001</v>
      </c>
    </row>
    <row r="420" spans="1:8" x14ac:dyDescent="0.2">
      <c r="A420" s="62" t="s">
        <v>58</v>
      </c>
      <c r="B420" s="62"/>
      <c r="C420" s="62"/>
      <c r="D420" s="62"/>
      <c r="E420" s="62"/>
      <c r="F420" s="80">
        <v>50066.53</v>
      </c>
      <c r="G420" s="34">
        <v>65837.929999999993</v>
      </c>
      <c r="H420" s="80">
        <f>SUM(F420:G420)</f>
        <v>115904.45999999999</v>
      </c>
    </row>
    <row r="421" spans="1:8" x14ac:dyDescent="0.2">
      <c r="A421" s="62" t="s">
        <v>1605</v>
      </c>
      <c r="B421" s="62"/>
      <c r="C421" s="62"/>
      <c r="D421" s="62"/>
      <c r="E421" s="62"/>
      <c r="F421" s="80">
        <v>21482.16</v>
      </c>
      <c r="G421" s="34">
        <v>0</v>
      </c>
      <c r="H421" s="80">
        <f t="shared" ref="H421:H466" si="9">SUM(F421:G421)</f>
        <v>21482.16</v>
      </c>
    </row>
    <row r="422" spans="1:8" x14ac:dyDescent="0.2">
      <c r="A422" s="62" t="s">
        <v>1606</v>
      </c>
      <c r="B422" s="62"/>
      <c r="C422" s="62"/>
      <c r="D422" s="62"/>
      <c r="E422" s="62"/>
      <c r="F422" s="80">
        <v>24205.47</v>
      </c>
      <c r="G422" s="34">
        <v>231.33</v>
      </c>
      <c r="H422" s="80">
        <f t="shared" si="9"/>
        <v>24436.800000000003</v>
      </c>
    </row>
    <row r="423" spans="1:8" x14ac:dyDescent="0.2">
      <c r="A423" s="62" t="s">
        <v>57</v>
      </c>
      <c r="B423" s="62"/>
      <c r="C423" s="62"/>
      <c r="D423" s="62"/>
      <c r="E423" s="62"/>
      <c r="F423" s="80">
        <v>1986615.27</v>
      </c>
      <c r="G423" s="34">
        <v>92.92</v>
      </c>
      <c r="H423" s="80">
        <f t="shared" si="9"/>
        <v>1986708.19</v>
      </c>
    </row>
    <row r="424" spans="1:8" x14ac:dyDescent="0.2">
      <c r="A424" s="62" t="s">
        <v>1226</v>
      </c>
      <c r="B424" s="62"/>
      <c r="C424" s="62"/>
      <c r="D424" s="62"/>
      <c r="E424" s="62"/>
      <c r="F424" s="80">
        <v>658356.71</v>
      </c>
      <c r="G424" s="34">
        <v>0</v>
      </c>
      <c r="H424" s="80">
        <f t="shared" si="9"/>
        <v>658356.71</v>
      </c>
    </row>
    <row r="425" spans="1:8" x14ac:dyDescent="0.2">
      <c r="A425" s="62" t="s">
        <v>1607</v>
      </c>
      <c r="B425" s="62"/>
      <c r="C425" s="62"/>
      <c r="D425" s="62"/>
      <c r="E425" s="62"/>
      <c r="F425" s="80">
        <v>204110.06</v>
      </c>
      <c r="G425" s="34">
        <v>0</v>
      </c>
      <c r="H425" s="80">
        <f t="shared" si="9"/>
        <v>204110.06</v>
      </c>
    </row>
    <row r="426" spans="1:8" x14ac:dyDescent="0.2">
      <c r="A426" s="62" t="s">
        <v>1622</v>
      </c>
      <c r="B426" s="62"/>
      <c r="C426" s="62"/>
      <c r="D426" s="62"/>
      <c r="E426" s="62"/>
      <c r="F426" s="80">
        <v>117360.99</v>
      </c>
      <c r="G426" s="34"/>
      <c r="H426" s="80">
        <f t="shared" si="9"/>
        <v>117360.99</v>
      </c>
    </row>
    <row r="427" spans="1:8" x14ac:dyDescent="0.2">
      <c r="A427" s="62" t="s">
        <v>1608</v>
      </c>
      <c r="B427" s="62"/>
      <c r="C427" s="62"/>
      <c r="D427" s="62"/>
      <c r="E427" s="62"/>
      <c r="F427" s="80">
        <v>5333.18</v>
      </c>
      <c r="G427" s="34">
        <v>402.87</v>
      </c>
      <c r="H427" s="80">
        <f t="shared" si="9"/>
        <v>5736.05</v>
      </c>
    </row>
    <row r="428" spans="1:8" x14ac:dyDescent="0.2">
      <c r="A428" s="62" t="s">
        <v>1225</v>
      </c>
      <c r="B428" s="62"/>
      <c r="C428" s="62"/>
      <c r="D428" s="62"/>
      <c r="E428" s="62"/>
      <c r="F428" s="80">
        <v>67663.12</v>
      </c>
      <c r="G428" s="34">
        <v>0</v>
      </c>
      <c r="H428" s="80">
        <f t="shared" si="9"/>
        <v>67663.12</v>
      </c>
    </row>
    <row r="429" spans="1:8" x14ac:dyDescent="0.2">
      <c r="A429" s="62" t="s">
        <v>1227</v>
      </c>
      <c r="B429" s="62"/>
      <c r="C429" s="62"/>
      <c r="D429" s="62"/>
      <c r="E429" s="62"/>
      <c r="F429" s="80">
        <v>13377.41</v>
      </c>
      <c r="G429" s="34">
        <v>0</v>
      </c>
      <c r="H429" s="80">
        <f t="shared" si="9"/>
        <v>13377.41</v>
      </c>
    </row>
    <row r="430" spans="1:8" x14ac:dyDescent="0.2">
      <c r="A430" s="62" t="s">
        <v>1609</v>
      </c>
      <c r="B430" s="62"/>
      <c r="C430" s="62"/>
      <c r="D430" s="62"/>
      <c r="E430" s="62"/>
      <c r="F430" s="80">
        <v>279485.02</v>
      </c>
      <c r="G430" s="34">
        <v>230.61</v>
      </c>
      <c r="H430" s="80">
        <f t="shared" si="9"/>
        <v>279715.63</v>
      </c>
    </row>
    <row r="431" spans="1:8" x14ac:dyDescent="0.2">
      <c r="A431" s="62" t="s">
        <v>59</v>
      </c>
      <c r="B431" s="62"/>
      <c r="C431" s="62"/>
      <c r="D431" s="62"/>
      <c r="E431" s="62"/>
      <c r="F431" s="80">
        <v>76342.55</v>
      </c>
      <c r="G431" s="34">
        <v>52697.58</v>
      </c>
      <c r="H431" s="80">
        <f>SUM(F431:G431)</f>
        <v>129040.13</v>
      </c>
    </row>
    <row r="432" spans="1:8" x14ac:dyDescent="0.2">
      <c r="A432" s="204" t="s">
        <v>1690</v>
      </c>
      <c r="B432" s="62"/>
      <c r="C432" s="62"/>
      <c r="D432" s="62"/>
      <c r="E432" s="62"/>
      <c r="F432" s="80">
        <v>75358.83</v>
      </c>
      <c r="G432" s="34">
        <v>0</v>
      </c>
      <c r="H432" s="80">
        <f t="shared" si="9"/>
        <v>75358.83</v>
      </c>
    </row>
    <row r="433" spans="1:8" x14ac:dyDescent="0.2">
      <c r="A433" s="204" t="s">
        <v>1698</v>
      </c>
      <c r="B433" s="62"/>
      <c r="C433" s="62"/>
      <c r="D433" s="62"/>
      <c r="E433" s="62"/>
      <c r="F433" s="80">
        <v>49459.83</v>
      </c>
      <c r="G433" s="34">
        <v>0</v>
      </c>
      <c r="H433" s="80">
        <f t="shared" si="9"/>
        <v>49459.83</v>
      </c>
    </row>
    <row r="434" spans="1:8" x14ac:dyDescent="0.2">
      <c r="A434" s="62" t="s">
        <v>1610</v>
      </c>
      <c r="B434" s="62"/>
      <c r="C434" s="62"/>
      <c r="D434" s="62"/>
      <c r="E434" s="62"/>
      <c r="F434" s="80">
        <v>197476.81</v>
      </c>
      <c r="G434" s="34">
        <v>31828.13</v>
      </c>
      <c r="H434" s="80">
        <f t="shared" si="9"/>
        <v>229304.94</v>
      </c>
    </row>
    <row r="435" spans="1:8" x14ac:dyDescent="0.2">
      <c r="A435" s="62" t="s">
        <v>1662</v>
      </c>
      <c r="B435" s="62"/>
      <c r="C435" s="62"/>
      <c r="D435" s="62"/>
      <c r="E435" s="62"/>
      <c r="F435" s="80">
        <v>51549.35</v>
      </c>
      <c r="G435" s="34">
        <v>0</v>
      </c>
      <c r="H435" s="80">
        <f t="shared" si="9"/>
        <v>51549.35</v>
      </c>
    </row>
    <row r="436" spans="1:8" x14ac:dyDescent="0.2">
      <c r="A436" s="62" t="s">
        <v>1663</v>
      </c>
      <c r="B436" s="62"/>
      <c r="C436" s="62"/>
      <c r="D436" s="62"/>
      <c r="E436" s="62"/>
      <c r="F436" s="80">
        <v>5588.18</v>
      </c>
      <c r="G436" s="34">
        <v>0</v>
      </c>
      <c r="H436" s="80">
        <f t="shared" si="9"/>
        <v>5588.18</v>
      </c>
    </row>
    <row r="437" spans="1:8" x14ac:dyDescent="0.2">
      <c r="A437" s="62" t="s">
        <v>1228</v>
      </c>
      <c r="B437" s="62"/>
      <c r="C437" s="62"/>
      <c r="D437" s="62"/>
      <c r="E437" s="62"/>
      <c r="F437" s="80">
        <v>58864.55</v>
      </c>
      <c r="G437" s="34">
        <v>0</v>
      </c>
      <c r="H437" s="80">
        <f t="shared" si="9"/>
        <v>58864.55</v>
      </c>
    </row>
    <row r="438" spans="1:8" x14ac:dyDescent="0.2">
      <c r="A438" s="62" t="s">
        <v>60</v>
      </c>
      <c r="B438" s="62"/>
      <c r="C438" s="62"/>
      <c r="D438" s="62"/>
      <c r="E438" s="62"/>
      <c r="F438" s="80">
        <v>21277.4</v>
      </c>
      <c r="G438" s="34">
        <v>46261.53</v>
      </c>
      <c r="H438" s="80">
        <f t="shared" si="9"/>
        <v>67538.929999999993</v>
      </c>
    </row>
    <row r="439" spans="1:8" x14ac:dyDescent="0.2">
      <c r="A439" s="62" t="s">
        <v>61</v>
      </c>
      <c r="B439" s="62"/>
      <c r="C439" s="62"/>
      <c r="D439" s="62"/>
      <c r="E439" s="62"/>
      <c r="F439" s="80">
        <v>903896.62</v>
      </c>
      <c r="G439" s="34">
        <v>57809.24</v>
      </c>
      <c r="H439" s="80">
        <f t="shared" si="9"/>
        <v>961705.86</v>
      </c>
    </row>
    <row r="440" spans="1:8" x14ac:dyDescent="0.2">
      <c r="A440" s="62" t="s">
        <v>62</v>
      </c>
      <c r="B440" s="62"/>
      <c r="C440" s="62"/>
      <c r="D440" s="62"/>
      <c r="E440" s="62"/>
      <c r="F440" s="80">
        <v>89351.17</v>
      </c>
      <c r="G440" s="34">
        <v>0</v>
      </c>
      <c r="H440" s="80">
        <f t="shared" si="9"/>
        <v>89351.17</v>
      </c>
    </row>
    <row r="441" spans="1:8" hidden="1" x14ac:dyDescent="0.2">
      <c r="A441" s="62" t="s">
        <v>1611</v>
      </c>
      <c r="B441" s="62"/>
      <c r="C441" s="62"/>
      <c r="D441" s="62"/>
      <c r="E441" s="62"/>
      <c r="F441" s="80">
        <v>0</v>
      </c>
      <c r="G441" s="34">
        <v>0</v>
      </c>
      <c r="H441" s="80">
        <f t="shared" si="9"/>
        <v>0</v>
      </c>
    </row>
    <row r="442" spans="1:8" hidden="1" x14ac:dyDescent="0.2">
      <c r="A442" s="62" t="s">
        <v>1612</v>
      </c>
      <c r="B442" s="62"/>
      <c r="C442" s="62"/>
      <c r="D442" s="62"/>
      <c r="E442" s="62"/>
      <c r="F442" s="80">
        <v>0</v>
      </c>
      <c r="G442" s="34">
        <v>0</v>
      </c>
      <c r="H442" s="80">
        <f>SUM(F442:G442)</f>
        <v>0</v>
      </c>
    </row>
    <row r="443" spans="1:8" x14ac:dyDescent="0.2">
      <c r="A443" s="62" t="s">
        <v>64</v>
      </c>
      <c r="B443" s="62"/>
      <c r="C443" s="62"/>
      <c r="D443" s="62"/>
      <c r="E443" s="62"/>
      <c r="F443" s="80">
        <v>468748.77</v>
      </c>
      <c r="G443" s="34">
        <v>10700.36</v>
      </c>
      <c r="H443" s="80">
        <f t="shared" si="9"/>
        <v>479449.13</v>
      </c>
    </row>
    <row r="444" spans="1:8" x14ac:dyDescent="0.2">
      <c r="A444" s="62" t="s">
        <v>1613</v>
      </c>
      <c r="B444" s="62"/>
      <c r="C444" s="62"/>
      <c r="D444" s="62"/>
      <c r="E444" s="62"/>
      <c r="F444" s="80">
        <v>295596.73</v>
      </c>
      <c r="G444" s="34">
        <v>5.42</v>
      </c>
      <c r="H444" s="80">
        <f t="shared" si="9"/>
        <v>295602.14999999997</v>
      </c>
    </row>
    <row r="445" spans="1:8" x14ac:dyDescent="0.2">
      <c r="A445" s="62" t="s">
        <v>1614</v>
      </c>
      <c r="B445" s="62"/>
      <c r="C445" s="62"/>
      <c r="D445" s="62"/>
      <c r="E445" s="62"/>
      <c r="F445" s="80">
        <v>128538.87</v>
      </c>
      <c r="G445" s="34">
        <v>89613.25</v>
      </c>
      <c r="H445" s="80">
        <f t="shared" si="9"/>
        <v>218152.12</v>
      </c>
    </row>
    <row r="446" spans="1:8" x14ac:dyDescent="0.2">
      <c r="A446" s="62" t="s">
        <v>1229</v>
      </c>
      <c r="B446" s="62"/>
      <c r="C446" s="62"/>
      <c r="D446" s="62"/>
      <c r="E446" s="62"/>
      <c r="F446" s="80">
        <v>145023.99</v>
      </c>
      <c r="G446" s="34">
        <v>60029.71</v>
      </c>
      <c r="H446" s="80">
        <f t="shared" si="9"/>
        <v>205053.69999999998</v>
      </c>
    </row>
    <row r="447" spans="1:8" x14ac:dyDescent="0.2">
      <c r="A447" s="62" t="s">
        <v>1230</v>
      </c>
      <c r="B447" s="62"/>
      <c r="C447" s="62"/>
      <c r="D447" s="62"/>
      <c r="E447" s="62"/>
      <c r="F447" s="80">
        <v>12533.27</v>
      </c>
      <c r="G447" s="34">
        <v>0</v>
      </c>
      <c r="H447" s="80">
        <f t="shared" si="9"/>
        <v>12533.27</v>
      </c>
    </row>
    <row r="448" spans="1:8" x14ac:dyDescent="0.2">
      <c r="A448" s="62" t="s">
        <v>1615</v>
      </c>
      <c r="B448" s="62"/>
      <c r="C448" s="62"/>
      <c r="D448" s="62"/>
      <c r="E448" s="62"/>
      <c r="F448" s="80">
        <v>-16143.09</v>
      </c>
      <c r="G448" s="34">
        <v>46158.64</v>
      </c>
      <c r="H448" s="80">
        <f t="shared" si="9"/>
        <v>30015.55</v>
      </c>
    </row>
    <row r="449" spans="1:8" x14ac:dyDescent="0.2">
      <c r="A449" s="62" t="s">
        <v>482</v>
      </c>
      <c r="B449" s="62"/>
      <c r="C449" s="62"/>
      <c r="D449" s="62"/>
      <c r="E449" s="62"/>
      <c r="F449" s="80">
        <v>82733.78</v>
      </c>
      <c r="G449" s="34">
        <v>0</v>
      </c>
      <c r="H449" s="80">
        <f t="shared" si="9"/>
        <v>82733.78</v>
      </c>
    </row>
    <row r="450" spans="1:8" x14ac:dyDescent="0.2">
      <c r="A450" s="62" t="s">
        <v>483</v>
      </c>
      <c r="B450" s="62"/>
      <c r="C450" s="62"/>
      <c r="D450" s="62"/>
      <c r="E450" s="62"/>
      <c r="F450" s="80">
        <v>44389.06</v>
      </c>
      <c r="G450" s="34">
        <v>0</v>
      </c>
      <c r="H450" s="80">
        <f t="shared" si="9"/>
        <v>44389.06</v>
      </c>
    </row>
    <row r="451" spans="1:8" x14ac:dyDescent="0.2">
      <c r="A451" s="62" t="s">
        <v>65</v>
      </c>
      <c r="B451" s="62"/>
      <c r="C451" s="62"/>
      <c r="D451" s="62"/>
      <c r="E451" s="62"/>
      <c r="F451" s="80">
        <v>-24962.1</v>
      </c>
      <c r="G451" s="34">
        <v>0</v>
      </c>
      <c r="H451" s="80">
        <f t="shared" si="9"/>
        <v>-24962.1</v>
      </c>
    </row>
    <row r="452" spans="1:8" x14ac:dyDescent="0.2">
      <c r="A452" s="62" t="s">
        <v>1616</v>
      </c>
      <c r="B452" s="62"/>
      <c r="C452" s="62"/>
      <c r="D452" s="62"/>
      <c r="E452" s="62"/>
      <c r="F452" s="80">
        <v>87064.73</v>
      </c>
      <c r="G452" s="34">
        <v>0</v>
      </c>
      <c r="H452" s="80">
        <f t="shared" si="9"/>
        <v>87064.73</v>
      </c>
    </row>
    <row r="453" spans="1:8" x14ac:dyDescent="0.2">
      <c r="A453" s="62" t="s">
        <v>484</v>
      </c>
      <c r="B453" s="62"/>
      <c r="C453" s="62"/>
      <c r="D453" s="62"/>
      <c r="E453" s="62"/>
      <c r="F453" s="80">
        <v>46431.13</v>
      </c>
      <c r="G453" s="34">
        <v>0</v>
      </c>
      <c r="H453" s="80">
        <f t="shared" si="9"/>
        <v>46431.13</v>
      </c>
    </row>
    <row r="454" spans="1:8" x14ac:dyDescent="0.2">
      <c r="A454" s="62" t="s">
        <v>722</v>
      </c>
      <c r="B454" s="62"/>
      <c r="C454" s="62"/>
      <c r="D454" s="62"/>
      <c r="E454" s="62"/>
      <c r="F454" s="80">
        <v>567.19000000000005</v>
      </c>
      <c r="G454" s="34">
        <v>0</v>
      </c>
      <c r="H454" s="80">
        <f t="shared" si="9"/>
        <v>567.19000000000005</v>
      </c>
    </row>
    <row r="455" spans="1:8" x14ac:dyDescent="0.2">
      <c r="A455" s="62" t="s">
        <v>68</v>
      </c>
      <c r="B455" s="62"/>
      <c r="C455" s="62"/>
      <c r="D455" s="62"/>
      <c r="E455" s="62"/>
      <c r="F455" s="80">
        <v>542031.43999999994</v>
      </c>
      <c r="G455" s="34">
        <v>75.22</v>
      </c>
      <c r="H455" s="80">
        <f t="shared" si="9"/>
        <v>542106.65999999992</v>
      </c>
    </row>
    <row r="456" spans="1:8" hidden="1" x14ac:dyDescent="0.2">
      <c r="A456" s="62" t="s">
        <v>1023</v>
      </c>
      <c r="B456" s="62"/>
      <c r="C456" s="62"/>
      <c r="D456" s="62"/>
      <c r="E456" s="62"/>
      <c r="F456" s="80">
        <v>0</v>
      </c>
      <c r="G456" s="34">
        <v>0</v>
      </c>
      <c r="H456" s="80">
        <f t="shared" si="9"/>
        <v>0</v>
      </c>
    </row>
    <row r="457" spans="1:8" x14ac:dyDescent="0.2">
      <c r="A457" s="62" t="s">
        <v>910</v>
      </c>
      <c r="B457" s="62"/>
      <c r="C457" s="62"/>
      <c r="D457" s="62"/>
      <c r="E457" s="62"/>
      <c r="F457" s="80">
        <v>-224334.27</v>
      </c>
      <c r="G457" s="34">
        <v>249871.5</v>
      </c>
      <c r="H457" s="80">
        <f t="shared" si="9"/>
        <v>25537.23000000001</v>
      </c>
    </row>
    <row r="458" spans="1:8" hidden="1" x14ac:dyDescent="0.2">
      <c r="A458" s="62" t="s">
        <v>911</v>
      </c>
      <c r="B458" s="62"/>
      <c r="C458" s="62"/>
      <c r="D458" s="62"/>
      <c r="E458" s="62"/>
      <c r="F458" s="80">
        <v>0</v>
      </c>
      <c r="G458" s="34">
        <v>0</v>
      </c>
      <c r="H458" s="80">
        <f>SUM(F458:G458)</f>
        <v>0</v>
      </c>
    </row>
    <row r="459" spans="1:8" x14ac:dyDescent="0.2">
      <c r="A459" s="62" t="s">
        <v>323</v>
      </c>
      <c r="B459" s="62"/>
      <c r="C459" s="62"/>
      <c r="D459" s="62"/>
      <c r="E459" s="62"/>
      <c r="F459" s="80">
        <v>5526.02</v>
      </c>
      <c r="G459" s="34">
        <v>0</v>
      </c>
      <c r="H459" s="80">
        <f>SUM(F459:G459)</f>
        <v>5526.02</v>
      </c>
    </row>
    <row r="460" spans="1:8" x14ac:dyDescent="0.2">
      <c r="A460" s="62" t="s">
        <v>1617</v>
      </c>
      <c r="B460" s="62"/>
      <c r="C460" s="62"/>
      <c r="D460" s="62"/>
      <c r="E460" s="62"/>
      <c r="F460" s="80">
        <v>181101.19</v>
      </c>
      <c r="G460" s="34">
        <v>118062.31</v>
      </c>
      <c r="H460" s="80">
        <f t="shared" si="9"/>
        <v>299163.5</v>
      </c>
    </row>
    <row r="461" spans="1:8" x14ac:dyDescent="0.2">
      <c r="A461" s="62" t="s">
        <v>1618</v>
      </c>
      <c r="B461" s="62"/>
      <c r="C461" s="62"/>
      <c r="D461" s="62"/>
      <c r="E461" s="62"/>
      <c r="F461" s="80">
        <v>259299.69</v>
      </c>
      <c r="G461" s="34">
        <v>0</v>
      </c>
      <c r="H461" s="80">
        <f t="shared" si="9"/>
        <v>259299.69</v>
      </c>
    </row>
    <row r="462" spans="1:8" x14ac:dyDescent="0.2">
      <c r="A462" s="204" t="s">
        <v>1704</v>
      </c>
      <c r="B462" s="62"/>
      <c r="C462" s="62"/>
      <c r="D462" s="62"/>
      <c r="E462" s="62"/>
      <c r="F462" s="80">
        <v>1640272.98</v>
      </c>
      <c r="G462" s="34">
        <v>0</v>
      </c>
      <c r="H462" s="80">
        <f t="shared" si="9"/>
        <v>1640272.98</v>
      </c>
    </row>
    <row r="463" spans="1:8" x14ac:dyDescent="0.2">
      <c r="A463" s="62" t="s">
        <v>1620</v>
      </c>
      <c r="B463" s="62"/>
      <c r="C463" s="62"/>
      <c r="D463" s="62"/>
      <c r="E463" s="62"/>
      <c r="F463" s="80">
        <v>132862.69</v>
      </c>
      <c r="G463" s="34">
        <v>63451.57</v>
      </c>
      <c r="H463" s="80">
        <f t="shared" si="9"/>
        <v>196314.26</v>
      </c>
    </row>
    <row r="464" spans="1:8" x14ac:dyDescent="0.2">
      <c r="A464" s="62" t="s">
        <v>1621</v>
      </c>
      <c r="B464" s="62"/>
      <c r="C464" s="62"/>
      <c r="D464" s="62"/>
      <c r="E464" s="62"/>
      <c r="F464" s="80">
        <f>49070.54+16267.32</f>
        <v>65337.86</v>
      </c>
      <c r="G464" s="34">
        <v>0</v>
      </c>
      <c r="H464" s="80">
        <f t="shared" si="9"/>
        <v>65337.86</v>
      </c>
    </row>
    <row r="465" spans="1:11" x14ac:dyDescent="0.2">
      <c r="A465" s="62" t="s">
        <v>723</v>
      </c>
      <c r="B465" s="62"/>
      <c r="C465" s="62"/>
      <c r="D465" s="62"/>
      <c r="E465" s="62"/>
      <c r="F465" s="80">
        <v>544610.04</v>
      </c>
      <c r="G465" s="34">
        <v>0</v>
      </c>
      <c r="H465" s="80">
        <f t="shared" si="9"/>
        <v>544610.04</v>
      </c>
    </row>
    <row r="466" spans="1:11" x14ac:dyDescent="0.2">
      <c r="A466" s="62" t="s">
        <v>1619</v>
      </c>
      <c r="B466" s="62"/>
      <c r="C466" s="62"/>
      <c r="D466" s="62"/>
      <c r="E466" s="62"/>
      <c r="F466" s="101">
        <v>0</v>
      </c>
      <c r="G466" s="34">
        <v>150000.01999999999</v>
      </c>
      <c r="H466" s="80">
        <f t="shared" si="9"/>
        <v>150000.01999999999</v>
      </c>
    </row>
    <row r="467" spans="1:11" ht="13.5" thickBot="1" x14ac:dyDescent="0.25">
      <c r="E467" s="6" t="s">
        <v>1099</v>
      </c>
      <c r="F467" s="78">
        <f>SUM(F419:F466)</f>
        <v>15965024.57</v>
      </c>
      <c r="G467" s="78">
        <f>SUM(G419:G466)</f>
        <v>8082208.6200000001</v>
      </c>
      <c r="H467" s="116">
        <f>SUM(F467:G467)</f>
        <v>24047233.190000001</v>
      </c>
    </row>
    <row r="468" spans="1:11" ht="13.5" thickTop="1" x14ac:dyDescent="0.2">
      <c r="F468" s="125"/>
      <c r="G468" s="125"/>
      <c r="H468" s="125"/>
    </row>
    <row r="469" spans="1:11" x14ac:dyDescent="0.2">
      <c r="F469" s="125"/>
      <c r="G469" s="10"/>
    </row>
    <row r="470" spans="1:11" x14ac:dyDescent="0.2">
      <c r="F470" s="125"/>
      <c r="G470" s="10"/>
    </row>
    <row r="471" spans="1:11" x14ac:dyDescent="0.2">
      <c r="E471" s="3" t="s">
        <v>102</v>
      </c>
      <c r="F471" s="125"/>
      <c r="G471" s="10"/>
    </row>
    <row r="472" spans="1:11" x14ac:dyDescent="0.2">
      <c r="F472" s="216"/>
      <c r="G472" s="10"/>
    </row>
    <row r="473" spans="1:11" x14ac:dyDescent="0.2">
      <c r="F473" s="10"/>
      <c r="G473" s="10"/>
    </row>
    <row r="474" spans="1:11" x14ac:dyDescent="0.2">
      <c r="F474" s="10"/>
      <c r="G474" s="10"/>
    </row>
    <row r="477" spans="1:11" x14ac:dyDescent="0.2">
      <c r="E477" s="3"/>
    </row>
    <row r="478" spans="1:11" x14ac:dyDescent="0.2">
      <c r="E478" s="3"/>
    </row>
    <row r="479" spans="1:11" x14ac:dyDescent="0.2">
      <c r="E479" s="3"/>
    </row>
    <row r="480" spans="1:11" ht="15" x14ac:dyDescent="0.25">
      <c r="A480" s="153" t="s">
        <v>638</v>
      </c>
      <c r="B480" s="154"/>
      <c r="C480" s="154"/>
      <c r="D480" s="154"/>
      <c r="E480" s="154"/>
      <c r="F480" s="154"/>
      <c r="G480" s="154"/>
      <c r="H480" s="155"/>
      <c r="K480" s="62"/>
    </row>
    <row r="481" spans="1:11" ht="15" x14ac:dyDescent="0.25">
      <c r="A481" s="153" t="s">
        <v>104</v>
      </c>
      <c r="B481" s="154"/>
      <c r="C481" s="154"/>
      <c r="D481" s="154"/>
      <c r="E481" s="154"/>
      <c r="F481" s="154"/>
      <c r="G481" s="154"/>
      <c r="H481" s="155"/>
    </row>
    <row r="482" spans="1:11" ht="45" x14ac:dyDescent="0.25">
      <c r="A482" s="297" t="s">
        <v>823</v>
      </c>
      <c r="B482" s="297"/>
      <c r="C482" s="297"/>
      <c r="D482" s="298"/>
      <c r="E482" s="175"/>
      <c r="F482" s="175" t="s">
        <v>814</v>
      </c>
      <c r="G482" s="175" t="s">
        <v>218</v>
      </c>
      <c r="H482" s="176" t="s">
        <v>1826</v>
      </c>
      <c r="I482" s="110"/>
      <c r="J482" s="110"/>
      <c r="K482" s="110"/>
    </row>
    <row r="483" spans="1:11" ht="14.25" x14ac:dyDescent="0.2">
      <c r="A483" s="299" t="s">
        <v>1738</v>
      </c>
      <c r="B483" s="299"/>
      <c r="C483" s="299"/>
      <c r="D483" s="299" t="s">
        <v>1722</v>
      </c>
      <c r="E483" s="300"/>
      <c r="F483" s="177">
        <v>44972</v>
      </c>
      <c r="G483" s="178">
        <v>2830000</v>
      </c>
      <c r="H483" s="168">
        <v>1230000</v>
      </c>
      <c r="I483" s="126"/>
      <c r="J483" s="112"/>
      <c r="K483" s="57"/>
    </row>
    <row r="484" spans="1:11" ht="14.25" x14ac:dyDescent="0.2">
      <c r="A484" s="224" t="s">
        <v>216</v>
      </c>
      <c r="B484" s="224"/>
      <c r="C484" s="224"/>
      <c r="D484" s="224" t="s">
        <v>1761</v>
      </c>
      <c r="E484" s="225"/>
      <c r="F484" s="177">
        <v>47021</v>
      </c>
      <c r="G484" s="178">
        <v>1050000</v>
      </c>
      <c r="H484" s="168">
        <v>599077.86</v>
      </c>
      <c r="I484" s="126"/>
      <c r="J484" s="112"/>
      <c r="K484" s="57"/>
    </row>
    <row r="485" spans="1:11" ht="15.75" thickBot="1" x14ac:dyDescent="0.3">
      <c r="A485" s="224"/>
      <c r="B485" s="224"/>
      <c r="C485" s="224"/>
      <c r="D485" s="224"/>
      <c r="E485" s="171" t="s">
        <v>1099</v>
      </c>
      <c r="F485" s="221"/>
      <c r="G485" s="221"/>
      <c r="H485" s="182">
        <f>SUM(H483:H484)</f>
        <v>1829077.8599999999</v>
      </c>
      <c r="I485" s="112"/>
      <c r="J485" s="112"/>
      <c r="K485" s="57"/>
    </row>
    <row r="486" spans="1:11" ht="15" thickTop="1" x14ac:dyDescent="0.2">
      <c r="A486" s="224"/>
      <c r="B486" s="224"/>
      <c r="C486" s="224"/>
      <c r="D486" s="224"/>
      <c r="E486" s="225"/>
      <c r="F486" s="177"/>
      <c r="G486" s="178"/>
      <c r="H486" s="168"/>
      <c r="I486" s="112"/>
      <c r="J486" s="112"/>
      <c r="K486" s="57"/>
    </row>
    <row r="487" spans="1:11" ht="14.25" x14ac:dyDescent="0.2">
      <c r="A487" s="224"/>
      <c r="B487" s="224"/>
      <c r="C487" s="224"/>
      <c r="D487" s="224"/>
      <c r="E487" s="225"/>
      <c r="F487" s="177"/>
      <c r="G487" s="178"/>
      <c r="H487" s="168"/>
      <c r="I487" s="112"/>
      <c r="J487" s="112"/>
      <c r="K487" s="57"/>
    </row>
    <row r="488" spans="1:11" ht="14.25" x14ac:dyDescent="0.2">
      <c r="A488" s="224"/>
      <c r="B488" s="224"/>
      <c r="C488" s="224"/>
      <c r="D488" s="224"/>
      <c r="E488" s="225"/>
      <c r="F488" s="177"/>
      <c r="G488" s="178"/>
      <c r="H488" s="168"/>
      <c r="I488" s="112"/>
      <c r="J488" s="112"/>
      <c r="K488" s="57"/>
    </row>
    <row r="489" spans="1:11" ht="14.25" x14ac:dyDescent="0.2">
      <c r="A489" s="224"/>
      <c r="B489" s="224"/>
      <c r="C489" s="224"/>
      <c r="D489" s="224"/>
      <c r="E489" s="225"/>
      <c r="F489" s="177"/>
      <c r="G489" s="178"/>
      <c r="H489" s="168"/>
      <c r="I489" s="112"/>
      <c r="J489" s="112"/>
      <c r="K489" s="57"/>
    </row>
    <row r="490" spans="1:11" ht="14.25" x14ac:dyDescent="0.2">
      <c r="A490" s="224"/>
      <c r="B490" s="224"/>
      <c r="C490" s="224"/>
      <c r="D490" s="224"/>
      <c r="E490" s="225"/>
      <c r="F490" s="177"/>
      <c r="G490" s="178"/>
      <c r="H490" s="168"/>
      <c r="I490" s="112"/>
      <c r="J490" s="112"/>
      <c r="K490" s="57"/>
    </row>
    <row r="491" spans="1:11" ht="14.25" x14ac:dyDescent="0.2">
      <c r="A491" s="224"/>
      <c r="B491" s="224"/>
      <c r="C491" s="224"/>
      <c r="D491" s="224"/>
      <c r="E491" s="225"/>
      <c r="F491" s="177"/>
      <c r="G491" s="178"/>
      <c r="H491" s="168"/>
      <c r="I491" s="112"/>
      <c r="J491" s="112"/>
      <c r="K491" s="57"/>
    </row>
    <row r="492" spans="1:11" ht="14.25" x14ac:dyDescent="0.2">
      <c r="A492" s="224"/>
      <c r="B492" s="224"/>
      <c r="C492" s="224"/>
      <c r="D492" s="224"/>
      <c r="E492" s="225"/>
      <c r="F492" s="177"/>
      <c r="G492" s="178"/>
      <c r="H492" s="168"/>
      <c r="I492" s="112"/>
      <c r="J492" s="112"/>
      <c r="K492" s="57"/>
    </row>
    <row r="493" spans="1:11" ht="14.25" x14ac:dyDescent="0.2">
      <c r="A493" s="224"/>
      <c r="B493" s="224"/>
      <c r="C493" s="224"/>
      <c r="D493" s="224"/>
      <c r="E493" s="225"/>
      <c r="F493" s="177"/>
      <c r="G493" s="178"/>
      <c r="H493" s="168"/>
      <c r="I493" s="112"/>
      <c r="J493" s="112"/>
      <c r="K493" s="57"/>
    </row>
    <row r="494" spans="1:11" ht="14.25" x14ac:dyDescent="0.2">
      <c r="A494" s="224"/>
      <c r="B494" s="224"/>
      <c r="C494" s="224"/>
      <c r="D494" s="224"/>
      <c r="E494" s="225"/>
      <c r="F494" s="177"/>
      <c r="G494" s="178"/>
      <c r="H494" s="168"/>
      <c r="I494" s="112"/>
      <c r="J494" s="112"/>
      <c r="K494" s="57"/>
    </row>
    <row r="495" spans="1:11" ht="14.25" x14ac:dyDescent="0.2">
      <c r="A495" s="224"/>
      <c r="B495" s="224"/>
      <c r="C495" s="224"/>
      <c r="D495" s="224"/>
      <c r="E495" s="225"/>
      <c r="F495" s="177"/>
      <c r="G495" s="178"/>
      <c r="H495" s="168"/>
      <c r="I495" s="112"/>
      <c r="J495" s="112"/>
      <c r="K495" s="57"/>
    </row>
    <row r="496" spans="1:11" ht="14.25" x14ac:dyDescent="0.2">
      <c r="A496" s="224"/>
      <c r="B496" s="224"/>
      <c r="C496" s="224"/>
      <c r="D496" s="224"/>
      <c r="E496" s="225"/>
      <c r="F496" s="177"/>
      <c r="G496" s="178"/>
      <c r="H496" s="168"/>
      <c r="I496" s="112"/>
      <c r="J496" s="112"/>
      <c r="K496" s="57"/>
    </row>
    <row r="497" spans="1:12" ht="14.25" x14ac:dyDescent="0.2">
      <c r="A497" s="224"/>
      <c r="B497" s="224"/>
      <c r="C497" s="224"/>
      <c r="D497" s="224"/>
      <c r="E497" s="225"/>
      <c r="F497" s="177"/>
      <c r="G497" s="178"/>
      <c r="H497" s="168"/>
      <c r="I497" s="112"/>
      <c r="J497" s="112"/>
      <c r="K497" s="57"/>
    </row>
    <row r="498" spans="1:12" ht="14.25" x14ac:dyDescent="0.2">
      <c r="A498" s="224"/>
      <c r="B498" s="224"/>
      <c r="C498" s="224"/>
      <c r="D498" s="224"/>
      <c r="E498" s="225"/>
      <c r="F498" s="177"/>
      <c r="G498" s="178"/>
      <c r="H498" s="168"/>
      <c r="I498" s="112"/>
      <c r="J498" s="112"/>
      <c r="K498" s="57"/>
    </row>
    <row r="499" spans="1:12" ht="15" x14ac:dyDescent="0.25">
      <c r="A499" s="153" t="s">
        <v>638</v>
      </c>
      <c r="B499" s="154"/>
      <c r="C499" s="154"/>
      <c r="D499" s="154"/>
      <c r="E499" s="154"/>
      <c r="F499" s="154"/>
      <c r="G499" s="154"/>
      <c r="H499" s="184"/>
      <c r="I499" s="112"/>
      <c r="J499" s="112"/>
      <c r="K499" s="57"/>
    </row>
    <row r="500" spans="1:12" ht="15" x14ac:dyDescent="0.25">
      <c r="A500" s="153" t="s">
        <v>1823</v>
      </c>
      <c r="B500" s="154"/>
      <c r="C500" s="154"/>
      <c r="D500" s="154"/>
      <c r="E500" s="154"/>
      <c r="F500" s="154"/>
      <c r="G500" s="154"/>
      <c r="H500" s="184"/>
      <c r="I500" s="112"/>
      <c r="J500" s="112"/>
      <c r="K500" s="57"/>
    </row>
    <row r="501" spans="1:12" ht="15" x14ac:dyDescent="0.25">
      <c r="A501" s="154"/>
      <c r="B501" s="154"/>
      <c r="C501" s="154"/>
      <c r="D501" s="154"/>
      <c r="E501" s="154"/>
      <c r="F501" s="226" t="s">
        <v>1745</v>
      </c>
      <c r="G501" s="226" t="s">
        <v>1746</v>
      </c>
      <c r="H501" s="185" t="s">
        <v>1099</v>
      </c>
      <c r="I501" s="112"/>
      <c r="J501" s="112"/>
      <c r="K501" s="57"/>
    </row>
    <row r="502" spans="1:12" s="105" customFormat="1" ht="14.25" x14ac:dyDescent="0.2">
      <c r="A502" s="205" t="s">
        <v>1721</v>
      </c>
      <c r="B502" s="205"/>
      <c r="C502" s="205"/>
      <c r="D502" s="154"/>
      <c r="E502" s="154"/>
      <c r="F502" s="186">
        <v>395000</v>
      </c>
      <c r="G502" s="186">
        <f>9052.5+6287.5</f>
        <v>15340</v>
      </c>
      <c r="H502" s="186">
        <f t="shared" ref="H502:H503" si="10">SUM(F502:G502)</f>
        <v>410340</v>
      </c>
      <c r="I502" s="126"/>
      <c r="J502" s="126"/>
      <c r="K502" s="111"/>
      <c r="L502" s="208"/>
    </row>
    <row r="503" spans="1:12" ht="14.25" x14ac:dyDescent="0.2">
      <c r="A503" s="179" t="s">
        <v>217</v>
      </c>
      <c r="B503" s="224"/>
      <c r="C503" s="224"/>
      <c r="D503" s="224"/>
      <c r="E503" s="225"/>
      <c r="F503" s="157">
        <f>16176.69+16299.54+16423.32+16548.04</f>
        <v>65447.590000000004</v>
      </c>
      <c r="G503" s="157">
        <f>4431.03+4308.18+4184.4+4059.68</f>
        <v>16983.289999999997</v>
      </c>
      <c r="H503" s="157">
        <f t="shared" si="10"/>
        <v>82430.880000000005</v>
      </c>
      <c r="I503" s="126"/>
      <c r="J503" s="112"/>
      <c r="K503" s="57"/>
    </row>
    <row r="504" spans="1:12" ht="14.25" x14ac:dyDescent="0.2">
      <c r="A504" s="179"/>
      <c r="B504" s="224"/>
      <c r="C504" s="224"/>
      <c r="D504" s="224"/>
      <c r="E504" s="225"/>
      <c r="F504" s="157"/>
      <c r="G504" s="157"/>
      <c r="H504" s="157"/>
      <c r="I504" s="112"/>
      <c r="J504" s="112"/>
      <c r="K504" s="57"/>
    </row>
    <row r="505" spans="1:12" ht="14.25" x14ac:dyDescent="0.2">
      <c r="A505" s="179"/>
      <c r="B505" s="224"/>
      <c r="C505" s="224"/>
      <c r="D505" s="224"/>
      <c r="E505" s="225"/>
      <c r="F505" s="157"/>
      <c r="G505" s="157"/>
      <c r="H505" s="157"/>
      <c r="I505" s="112"/>
      <c r="J505" s="112"/>
      <c r="K505" s="57"/>
    </row>
    <row r="506" spans="1:12" ht="14.25" x14ac:dyDescent="0.2">
      <c r="A506" s="224"/>
      <c r="B506" s="224"/>
      <c r="C506" s="224"/>
      <c r="D506" s="224"/>
      <c r="E506" s="225"/>
      <c r="F506" s="157"/>
      <c r="G506" s="178"/>
      <c r="H506" s="168"/>
      <c r="I506" s="112"/>
      <c r="J506" s="112"/>
      <c r="K506" s="57"/>
    </row>
    <row r="507" spans="1:12" ht="14.25" x14ac:dyDescent="0.2">
      <c r="A507" s="224"/>
      <c r="B507" s="224"/>
      <c r="C507" s="224"/>
      <c r="D507" s="224"/>
      <c r="E507" s="225"/>
      <c r="F507" s="177"/>
      <c r="G507" s="178"/>
      <c r="H507" s="168"/>
      <c r="I507" s="112"/>
      <c r="J507" s="112"/>
      <c r="K507" s="57"/>
    </row>
    <row r="508" spans="1:12" ht="14.25" x14ac:dyDescent="0.2">
      <c r="A508" s="224"/>
      <c r="B508" s="224"/>
      <c r="C508" s="224"/>
      <c r="D508" s="224"/>
      <c r="E508" s="225"/>
      <c r="F508" s="177"/>
      <c r="G508" s="178"/>
      <c r="H508" s="168"/>
      <c r="I508" s="112"/>
      <c r="J508" s="112"/>
      <c r="K508" s="57"/>
    </row>
    <row r="509" spans="1:12" ht="14.25" x14ac:dyDescent="0.2">
      <c r="A509" s="224"/>
      <c r="B509" s="224"/>
      <c r="C509" s="224"/>
      <c r="D509" s="224"/>
      <c r="E509" s="225"/>
      <c r="F509" s="177"/>
      <c r="G509" s="178"/>
      <c r="H509" s="168"/>
      <c r="I509" s="112"/>
      <c r="J509" s="112"/>
      <c r="K509" s="57"/>
    </row>
    <row r="510" spans="1:12" ht="14.25" x14ac:dyDescent="0.2">
      <c r="A510" s="224"/>
      <c r="B510" s="224"/>
      <c r="C510" s="224"/>
      <c r="D510" s="224"/>
      <c r="E510" s="225"/>
      <c r="F510" s="177"/>
      <c r="G510" s="178"/>
      <c r="H510" s="168"/>
      <c r="I510" s="112"/>
      <c r="J510" s="112"/>
      <c r="K510" s="57"/>
    </row>
    <row r="511" spans="1:12" ht="14.25" x14ac:dyDescent="0.2">
      <c r="A511" s="224"/>
      <c r="B511" s="224"/>
      <c r="C511" s="224"/>
      <c r="D511" s="224"/>
      <c r="E511" s="225"/>
      <c r="F511" s="177"/>
      <c r="G511" s="178"/>
      <c r="H511" s="168"/>
      <c r="I511" s="112"/>
      <c r="J511" s="112"/>
      <c r="K511" s="57"/>
    </row>
    <row r="512" spans="1:12" ht="14.25" x14ac:dyDescent="0.2">
      <c r="A512" s="224"/>
      <c r="B512" s="224"/>
      <c r="C512" s="224"/>
      <c r="D512" s="224"/>
      <c r="E512" s="225"/>
      <c r="F512" s="177"/>
      <c r="G512" s="178"/>
      <c r="H512" s="168"/>
      <c r="I512" s="112"/>
      <c r="J512" s="112"/>
      <c r="K512" s="57"/>
    </row>
    <row r="513" spans="1:12" ht="14.25" x14ac:dyDescent="0.2">
      <c r="A513" s="224"/>
      <c r="B513" s="224"/>
      <c r="C513" s="224"/>
      <c r="D513" s="224"/>
      <c r="E513" s="225"/>
      <c r="F513" s="177"/>
      <c r="G513" s="178"/>
      <c r="H513" s="168"/>
      <c r="I513" s="112"/>
      <c r="J513" s="112"/>
      <c r="K513" s="57"/>
    </row>
    <row r="514" spans="1:12" ht="14.25" x14ac:dyDescent="0.2">
      <c r="A514" s="224"/>
      <c r="B514" s="224"/>
      <c r="C514" s="224"/>
      <c r="D514" s="224"/>
      <c r="E514" s="225"/>
      <c r="F514" s="177"/>
      <c r="G514" s="178"/>
      <c r="H514" s="168"/>
      <c r="I514" s="112"/>
      <c r="J514" s="112"/>
      <c r="K514" s="57"/>
    </row>
    <row r="515" spans="1:12" ht="14.25" x14ac:dyDescent="0.2">
      <c r="A515" s="224"/>
      <c r="B515" s="224"/>
      <c r="C515" s="224"/>
      <c r="D515" s="224"/>
      <c r="E515" s="225"/>
      <c r="F515" s="177"/>
      <c r="G515" s="178"/>
      <c r="H515" s="168"/>
      <c r="I515" s="112"/>
      <c r="J515" s="112"/>
      <c r="K515" s="57"/>
    </row>
    <row r="516" spans="1:12" ht="14.25" x14ac:dyDescent="0.2">
      <c r="A516" s="224"/>
      <c r="B516" s="224"/>
      <c r="C516" s="224"/>
      <c r="D516" s="224"/>
      <c r="E516" s="225"/>
      <c r="F516" s="177"/>
      <c r="G516" s="178"/>
      <c r="H516" s="168"/>
      <c r="I516" s="112"/>
      <c r="J516" s="112"/>
      <c r="K516" s="57"/>
    </row>
    <row r="517" spans="1:12" ht="15" customHeight="1" x14ac:dyDescent="0.2">
      <c r="A517" s="224"/>
      <c r="B517" s="224"/>
      <c r="C517" s="224"/>
      <c r="D517" s="224"/>
      <c r="E517" s="227" t="s">
        <v>103</v>
      </c>
      <c r="F517" s="177"/>
      <c r="G517" s="178"/>
      <c r="H517" s="168"/>
      <c r="I517" s="112"/>
      <c r="J517" s="112"/>
      <c r="K517" s="57"/>
    </row>
    <row r="518" spans="1:12" ht="15" customHeight="1" x14ac:dyDescent="0.2">
      <c r="A518" s="224"/>
      <c r="B518" s="224"/>
      <c r="C518" s="224"/>
      <c r="D518" s="224"/>
      <c r="E518" s="227"/>
      <c r="F518" s="177"/>
      <c r="G518" s="178"/>
      <c r="H518" s="168"/>
      <c r="I518" s="112"/>
      <c r="J518" s="112"/>
      <c r="K518" s="57"/>
    </row>
    <row r="519" spans="1:12" ht="15" customHeight="1" x14ac:dyDescent="0.2">
      <c r="A519" s="224"/>
      <c r="B519" s="224"/>
      <c r="C519" s="224"/>
      <c r="D519" s="224"/>
      <c r="E519" s="227"/>
      <c r="F519" s="177"/>
      <c r="G519" s="178"/>
      <c r="H519" s="168"/>
      <c r="I519" s="112"/>
      <c r="J519" s="112"/>
      <c r="K519" s="57"/>
    </row>
    <row r="520" spans="1:12" ht="15" customHeight="1" x14ac:dyDescent="0.2">
      <c r="A520" s="224"/>
      <c r="B520" s="224"/>
      <c r="C520" s="224"/>
      <c r="D520" s="224"/>
      <c r="E520" s="227"/>
      <c r="F520" s="177"/>
      <c r="G520" s="178"/>
      <c r="H520" s="168"/>
      <c r="I520" s="112"/>
      <c r="J520" s="112"/>
      <c r="K520" s="57"/>
    </row>
    <row r="521" spans="1:12" ht="15" x14ac:dyDescent="0.25">
      <c r="A521" s="153" t="s">
        <v>638</v>
      </c>
      <c r="B521" s="224"/>
      <c r="C521" s="224"/>
      <c r="D521" s="224"/>
      <c r="E521" s="225"/>
      <c r="F521" s="177"/>
      <c r="G521" s="178"/>
      <c r="H521" s="168"/>
      <c r="I521" s="112"/>
      <c r="J521" s="112"/>
      <c r="K521" s="57"/>
    </row>
    <row r="522" spans="1:12" ht="15" x14ac:dyDescent="0.25">
      <c r="A522" s="153" t="s">
        <v>1769</v>
      </c>
      <c r="B522" s="224"/>
      <c r="C522" s="224"/>
      <c r="D522" s="224"/>
      <c r="E522" s="225"/>
      <c r="F522" s="177"/>
      <c r="G522" s="178"/>
      <c r="H522" s="168"/>
      <c r="I522" s="112"/>
      <c r="J522" s="112"/>
      <c r="K522" s="57"/>
    </row>
    <row r="523" spans="1:12" ht="14.25" x14ac:dyDescent="0.2">
      <c r="A523" s="224"/>
      <c r="B523" s="224"/>
      <c r="C523" s="224"/>
      <c r="D523" s="224"/>
      <c r="E523" s="225"/>
      <c r="F523" s="177"/>
      <c r="G523" s="178"/>
      <c r="H523" s="168"/>
      <c r="I523" s="112"/>
      <c r="J523" s="112"/>
      <c r="K523" s="57"/>
    </row>
    <row r="524" spans="1:12" ht="45" x14ac:dyDescent="0.25">
      <c r="A524" s="224"/>
      <c r="B524" s="224"/>
      <c r="C524" s="224"/>
      <c r="D524" s="224"/>
      <c r="E524" s="225"/>
      <c r="F524" s="175" t="s">
        <v>814</v>
      </c>
      <c r="G524" s="175" t="s">
        <v>1747</v>
      </c>
      <c r="H524" s="176" t="str">
        <f>+H482</f>
        <v>Outstanding as of 9/30/2020</v>
      </c>
      <c r="I524" s="112"/>
      <c r="J524" s="112"/>
      <c r="K524" s="57"/>
    </row>
    <row r="525" spans="1:12" ht="14.25" x14ac:dyDescent="0.2">
      <c r="A525" s="179" t="s">
        <v>1735</v>
      </c>
      <c r="B525" s="179"/>
      <c r="C525" s="179"/>
      <c r="D525" s="179" t="s">
        <v>1734</v>
      </c>
      <c r="E525" s="180"/>
      <c r="F525" s="181">
        <v>44228</v>
      </c>
      <c r="G525" s="201">
        <v>714000</v>
      </c>
      <c r="H525" s="183">
        <v>714000</v>
      </c>
      <c r="I525" s="242"/>
      <c r="J525" s="112"/>
      <c r="K525" s="128"/>
      <c r="L525" s="21"/>
    </row>
    <row r="526" spans="1:12" ht="14.25" x14ac:dyDescent="0.2">
      <c r="A526" s="179" t="s">
        <v>1736</v>
      </c>
      <c r="B526" s="179"/>
      <c r="C526" s="179"/>
      <c r="D526" s="179" t="s">
        <v>1741</v>
      </c>
      <c r="E526" s="180"/>
      <c r="F526" s="181">
        <v>44362</v>
      </c>
      <c r="G526" s="201">
        <f>229200*3</f>
        <v>687600</v>
      </c>
      <c r="H526" s="183">
        <f>+G526-12764.22-12764.22-12764.22</f>
        <v>649307.34000000008</v>
      </c>
      <c r="I526" s="242"/>
      <c r="J526" s="112"/>
      <c r="K526" s="128"/>
      <c r="L526" s="21"/>
    </row>
    <row r="527" spans="1:12" ht="14.25" x14ac:dyDescent="0.2">
      <c r="A527" s="179" t="s">
        <v>2305</v>
      </c>
      <c r="B527" s="179"/>
      <c r="C527" s="179"/>
      <c r="D527" s="179" t="s">
        <v>822</v>
      </c>
      <c r="E527" s="180"/>
      <c r="F527" s="181">
        <v>43949</v>
      </c>
      <c r="G527" s="201">
        <v>392885.52</v>
      </c>
      <c r="H527" s="183">
        <f>+G527</f>
        <v>392885.52</v>
      </c>
      <c r="I527" s="242"/>
      <c r="J527" s="112"/>
      <c r="K527" s="128"/>
      <c r="L527" s="21"/>
    </row>
    <row r="528" spans="1:12" ht="14.25" x14ac:dyDescent="0.2">
      <c r="A528" s="179" t="s">
        <v>2312</v>
      </c>
      <c r="B528" s="179"/>
      <c r="C528" s="179"/>
      <c r="D528" s="179" t="s">
        <v>822</v>
      </c>
      <c r="E528" s="180"/>
      <c r="F528" s="181" t="s">
        <v>2313</v>
      </c>
      <c r="G528" s="201">
        <v>540577.81999999995</v>
      </c>
      <c r="H528" s="183">
        <f>+G528</f>
        <v>540577.81999999995</v>
      </c>
      <c r="I528" s="242"/>
      <c r="J528" s="112"/>
      <c r="K528" s="128"/>
      <c r="L528" s="21"/>
    </row>
    <row r="529" spans="1:12" ht="15.75" thickBot="1" x14ac:dyDescent="0.3">
      <c r="A529" s="154"/>
      <c r="B529" s="154"/>
      <c r="C529" s="154"/>
      <c r="D529" s="154"/>
      <c r="E529" s="171" t="s">
        <v>1099</v>
      </c>
      <c r="F529" s="221"/>
      <c r="G529" s="221"/>
      <c r="H529" s="182">
        <f>SUM(H525:H528)</f>
        <v>2296770.6800000002</v>
      </c>
      <c r="I529" s="117"/>
      <c r="J529" s="117"/>
      <c r="K529" s="45"/>
      <c r="L529" s="21"/>
    </row>
    <row r="530" spans="1:12" ht="15.75" thickTop="1" x14ac:dyDescent="0.25">
      <c r="A530" s="154"/>
      <c r="B530" s="154"/>
      <c r="C530" s="154"/>
      <c r="D530" s="154"/>
      <c r="E530" s="171"/>
      <c r="F530" s="228"/>
      <c r="G530" s="228"/>
      <c r="H530" s="229"/>
      <c r="I530" s="117"/>
      <c r="J530" s="117"/>
      <c r="K530" s="45"/>
      <c r="L530" s="21"/>
    </row>
    <row r="531" spans="1:12" ht="15" x14ac:dyDescent="0.25">
      <c r="A531" s="154"/>
      <c r="B531" s="154"/>
      <c r="C531" s="154"/>
      <c r="D531" s="154"/>
      <c r="E531" s="171"/>
      <c r="F531" s="228"/>
      <c r="G531" s="228"/>
      <c r="H531" s="229"/>
      <c r="I531" s="117"/>
      <c r="J531" s="117"/>
      <c r="K531" s="45"/>
      <c r="L531" s="21"/>
    </row>
    <row r="532" spans="1:12" ht="15" x14ac:dyDescent="0.25">
      <c r="A532" s="154"/>
      <c r="B532" s="154"/>
      <c r="C532" s="154"/>
      <c r="D532" s="154"/>
      <c r="E532" s="171"/>
      <c r="F532" s="228"/>
      <c r="G532" s="228"/>
      <c r="H532" s="229"/>
      <c r="I532" s="117"/>
      <c r="J532" s="117"/>
      <c r="K532" s="45"/>
      <c r="L532" s="21"/>
    </row>
    <row r="533" spans="1:12" ht="15" x14ac:dyDescent="0.25">
      <c r="A533" s="154"/>
      <c r="B533" s="154"/>
      <c r="C533" s="154"/>
      <c r="D533" s="154"/>
      <c r="E533" s="171"/>
      <c r="F533" s="228"/>
      <c r="G533" s="228"/>
      <c r="H533" s="229"/>
      <c r="I533" s="117"/>
      <c r="J533" s="117"/>
      <c r="K533" s="45"/>
      <c r="L533" s="21"/>
    </row>
    <row r="534" spans="1:12" ht="15" x14ac:dyDescent="0.25">
      <c r="A534" s="154"/>
      <c r="B534" s="154"/>
      <c r="C534" s="154"/>
      <c r="D534" s="154"/>
      <c r="E534" s="171"/>
      <c r="F534" s="228"/>
      <c r="G534" s="228"/>
      <c r="H534" s="229"/>
      <c r="I534" s="117"/>
      <c r="J534" s="117"/>
      <c r="K534" s="45"/>
      <c r="L534" s="21"/>
    </row>
    <row r="535" spans="1:12" ht="15" x14ac:dyDescent="0.25">
      <c r="A535" s="154"/>
      <c r="B535" s="154"/>
      <c r="C535" s="154"/>
      <c r="D535" s="154"/>
      <c r="E535" s="171"/>
      <c r="F535" s="228"/>
      <c r="G535" s="228"/>
      <c r="H535" s="229"/>
      <c r="I535" s="117"/>
      <c r="J535" s="117"/>
      <c r="K535" s="45"/>
      <c r="L535" s="21"/>
    </row>
    <row r="536" spans="1:12" ht="15" x14ac:dyDescent="0.25">
      <c r="A536" s="154"/>
      <c r="B536" s="154"/>
      <c r="C536" s="154"/>
      <c r="D536" s="154"/>
      <c r="E536" s="171"/>
      <c r="F536" s="228"/>
      <c r="G536" s="228"/>
      <c r="H536" s="229"/>
      <c r="I536" s="117"/>
      <c r="J536" s="117"/>
      <c r="K536" s="45"/>
      <c r="L536" s="21"/>
    </row>
    <row r="537" spans="1:12" ht="15" x14ac:dyDescent="0.25">
      <c r="A537" s="154"/>
      <c r="B537" s="154"/>
      <c r="C537" s="154"/>
      <c r="D537" s="154"/>
      <c r="E537" s="171"/>
      <c r="F537" s="228"/>
      <c r="G537" s="228"/>
      <c r="H537" s="229"/>
      <c r="I537" s="117"/>
      <c r="J537" s="117"/>
      <c r="K537" s="45"/>
      <c r="L537" s="21"/>
    </row>
    <row r="538" spans="1:12" ht="15" x14ac:dyDescent="0.25">
      <c r="A538" s="154"/>
      <c r="B538" s="154"/>
      <c r="C538" s="154"/>
      <c r="D538" s="154"/>
      <c r="E538" s="171"/>
      <c r="F538" s="228"/>
      <c r="G538" s="228"/>
      <c r="H538" s="229"/>
      <c r="I538" s="117"/>
      <c r="J538" s="117"/>
      <c r="K538" s="45"/>
      <c r="L538" s="21"/>
    </row>
    <row r="539" spans="1:12" ht="15" x14ac:dyDescent="0.25">
      <c r="A539" s="154"/>
      <c r="B539" s="154"/>
      <c r="C539" s="154"/>
      <c r="D539" s="154"/>
      <c r="E539" s="171"/>
      <c r="F539" s="228"/>
      <c r="G539" s="228"/>
      <c r="H539" s="229"/>
      <c r="I539" s="117"/>
      <c r="J539" s="117"/>
      <c r="K539" s="45"/>
      <c r="L539" s="21"/>
    </row>
    <row r="540" spans="1:12" ht="15" x14ac:dyDescent="0.25">
      <c r="A540" s="154"/>
      <c r="B540" s="154"/>
      <c r="C540" s="154"/>
      <c r="D540" s="154"/>
      <c r="E540" s="171"/>
      <c r="F540" s="228"/>
      <c r="G540" s="228"/>
      <c r="H540" s="229"/>
      <c r="I540" s="117"/>
      <c r="J540" s="117"/>
      <c r="K540" s="45"/>
      <c r="L540" s="21"/>
    </row>
    <row r="541" spans="1:12" ht="15" x14ac:dyDescent="0.25">
      <c r="A541" s="154"/>
      <c r="B541" s="154"/>
      <c r="C541" s="154"/>
      <c r="D541" s="154"/>
      <c r="E541" s="171"/>
      <c r="F541" s="228"/>
      <c r="G541" s="228"/>
      <c r="H541" s="229"/>
      <c r="I541" s="117"/>
      <c r="J541" s="117"/>
      <c r="K541" s="45"/>
      <c r="L541" s="21"/>
    </row>
    <row r="542" spans="1:12" ht="15" x14ac:dyDescent="0.25">
      <c r="A542" s="153" t="s">
        <v>638</v>
      </c>
      <c r="B542" s="154"/>
      <c r="C542" s="154"/>
      <c r="D542" s="154"/>
      <c r="E542" s="154"/>
      <c r="F542" s="154"/>
      <c r="G542" s="154"/>
      <c r="H542" s="184"/>
      <c r="I542" s="112"/>
      <c r="J542" s="112"/>
      <c r="K542" s="57"/>
    </row>
    <row r="543" spans="1:12" ht="15" x14ac:dyDescent="0.25">
      <c r="A543" s="153" t="s">
        <v>1824</v>
      </c>
      <c r="B543" s="154"/>
      <c r="C543" s="154"/>
      <c r="D543" s="154"/>
      <c r="E543" s="154"/>
      <c r="F543" s="154"/>
      <c r="G543" s="154"/>
      <c r="H543" s="184"/>
      <c r="I543" s="112"/>
      <c r="J543" s="112"/>
      <c r="K543" s="57"/>
    </row>
    <row r="544" spans="1:12" ht="15" x14ac:dyDescent="0.25">
      <c r="A544" s="154"/>
      <c r="B544" s="154"/>
      <c r="C544" s="154"/>
      <c r="D544" s="154"/>
      <c r="E544" s="154"/>
      <c r="F544" s="226" t="s">
        <v>1742</v>
      </c>
      <c r="G544" s="226" t="s">
        <v>1743</v>
      </c>
      <c r="H544" s="185" t="s">
        <v>1744</v>
      </c>
      <c r="I544" s="112"/>
      <c r="J544" s="112"/>
      <c r="K544" s="57"/>
    </row>
    <row r="545" spans="1:12" s="105" customFormat="1" ht="14.25" x14ac:dyDescent="0.2">
      <c r="A545" s="179" t="s">
        <v>1801</v>
      </c>
      <c r="B545" s="179"/>
      <c r="C545" s="179"/>
      <c r="D545" s="154"/>
      <c r="E545" s="154" t="s">
        <v>1410</v>
      </c>
      <c r="F545" s="187">
        <v>540000</v>
      </c>
      <c r="G545" s="187">
        <v>13986</v>
      </c>
      <c r="H545" s="187">
        <f t="shared" ref="H545" si="11">SUM(F545:G545)</f>
        <v>553986</v>
      </c>
      <c r="I545" s="126"/>
      <c r="J545" s="126"/>
      <c r="K545" s="111"/>
      <c r="L545" s="208"/>
    </row>
    <row r="546" spans="1:12" s="105" customFormat="1" ht="14.25" x14ac:dyDescent="0.2">
      <c r="A546" s="179" t="s">
        <v>1740</v>
      </c>
      <c r="B546" s="179"/>
      <c r="C546" s="179"/>
      <c r="D546" s="154"/>
      <c r="E546" s="154"/>
      <c r="F546" s="187">
        <v>610616.79</v>
      </c>
      <c r="G546" s="187">
        <v>18257.52</v>
      </c>
      <c r="H546" s="187">
        <f t="shared" ref="H546" si="12">SUM(F546:G546)</f>
        <v>628874.31000000006</v>
      </c>
      <c r="I546" s="126"/>
      <c r="J546" s="126"/>
      <c r="K546" s="111"/>
      <c r="L546" s="208"/>
    </row>
    <row r="547" spans="1:12" s="105" customFormat="1" ht="14.25" x14ac:dyDescent="0.2">
      <c r="A547" s="179" t="s">
        <v>2315</v>
      </c>
      <c r="B547" s="179"/>
      <c r="C547" s="179"/>
      <c r="D547" s="154"/>
      <c r="E547" s="154"/>
      <c r="F547" s="187">
        <v>32915.519999999997</v>
      </c>
      <c r="G547" s="187">
        <v>13661.35</v>
      </c>
      <c r="H547" s="187">
        <f t="shared" ref="H547:H548" si="13">SUM(F547:G547)</f>
        <v>46576.869999999995</v>
      </c>
      <c r="I547" s="126"/>
      <c r="J547" s="126"/>
      <c r="K547" s="111"/>
      <c r="L547" s="208"/>
    </row>
    <row r="548" spans="1:12" s="105" customFormat="1" ht="14.25" x14ac:dyDescent="0.2">
      <c r="A548" s="179" t="s">
        <v>2314</v>
      </c>
      <c r="B548" s="179"/>
      <c r="C548" s="179"/>
      <c r="D548" s="154"/>
      <c r="E548" s="154"/>
      <c r="F548" s="187">
        <v>43059.4</v>
      </c>
      <c r="G548" s="187">
        <v>13518.42</v>
      </c>
      <c r="H548" s="187">
        <f t="shared" si="13"/>
        <v>56577.82</v>
      </c>
      <c r="I548" s="126"/>
      <c r="J548" s="126"/>
      <c r="K548" s="111"/>
      <c r="L548" s="208"/>
    </row>
    <row r="549" spans="1:12" ht="15.75" thickBot="1" x14ac:dyDescent="0.3">
      <c r="A549" s="154"/>
      <c r="B549" s="154"/>
      <c r="C549" s="154"/>
      <c r="D549" s="154"/>
      <c r="E549" s="171" t="s">
        <v>1099</v>
      </c>
      <c r="F549" s="222">
        <f>SUM(F545:F548)</f>
        <v>1226591.71</v>
      </c>
      <c r="G549" s="222">
        <f>SUM(G545:G548)</f>
        <v>59423.29</v>
      </c>
      <c r="H549" s="222">
        <f>SUM(H545:H548)</f>
        <v>1286015.0000000002</v>
      </c>
      <c r="I549" s="112"/>
      <c r="J549" s="112"/>
      <c r="K549" s="57"/>
    </row>
    <row r="550" spans="1:12" ht="15" thickTop="1" x14ac:dyDescent="0.2">
      <c r="A550" s="154"/>
      <c r="B550" s="154"/>
      <c r="C550" s="154"/>
      <c r="D550" s="154"/>
      <c r="E550" s="154"/>
      <c r="F550" s="154"/>
      <c r="G550" s="154"/>
      <c r="H550" s="155"/>
    </row>
    <row r="551" spans="1:12" ht="14.25" x14ac:dyDescent="0.2">
      <c r="A551" s="154"/>
      <c r="B551" s="154"/>
      <c r="C551" s="154"/>
      <c r="D551" s="154"/>
      <c r="E551" s="154"/>
      <c r="F551" s="154"/>
      <c r="G551" s="154"/>
      <c r="H551" s="155"/>
    </row>
    <row r="552" spans="1:12" ht="14.25" x14ac:dyDescent="0.2">
      <c r="A552" s="154"/>
      <c r="B552" s="154"/>
      <c r="C552" s="154"/>
      <c r="D552" s="154"/>
      <c r="E552" s="154"/>
      <c r="F552" s="154"/>
      <c r="G552" s="154"/>
      <c r="H552" s="155"/>
    </row>
    <row r="553" spans="1:12" ht="14.25" x14ac:dyDescent="0.2">
      <c r="A553" s="154"/>
      <c r="B553" s="154"/>
      <c r="C553" s="154"/>
      <c r="D553" s="154"/>
      <c r="E553" s="154"/>
      <c r="F553" s="154"/>
      <c r="G553" s="154"/>
      <c r="H553" s="155"/>
    </row>
    <row r="554" spans="1:12" ht="14.25" x14ac:dyDescent="0.2">
      <c r="A554" s="154"/>
      <c r="B554" s="154"/>
      <c r="C554" s="154"/>
      <c r="D554" s="154"/>
      <c r="E554" s="154"/>
      <c r="F554" s="154"/>
      <c r="G554" s="154"/>
      <c r="H554" s="155"/>
    </row>
    <row r="555" spans="1:12" ht="14.25" x14ac:dyDescent="0.2">
      <c r="A555" s="154"/>
      <c r="B555" s="154"/>
      <c r="C555" s="154"/>
      <c r="D555" s="154"/>
      <c r="E555" s="154"/>
      <c r="F555" s="154"/>
      <c r="G555" s="154"/>
      <c r="H555" s="155"/>
    </row>
    <row r="556" spans="1:12" ht="14.25" x14ac:dyDescent="0.2">
      <c r="A556" s="154"/>
      <c r="B556" s="154"/>
      <c r="C556" s="154"/>
      <c r="D556" s="154"/>
      <c r="E556" s="154"/>
      <c r="F556" s="154"/>
      <c r="G556" s="154"/>
      <c r="H556" s="155"/>
    </row>
    <row r="557" spans="1:12" ht="14.25" x14ac:dyDescent="0.2">
      <c r="A557" s="154"/>
      <c r="B557" s="154"/>
      <c r="C557" s="154"/>
      <c r="D557" s="154"/>
      <c r="E557" s="154"/>
      <c r="F557" s="154"/>
      <c r="G557" s="154"/>
      <c r="H557" s="155"/>
    </row>
    <row r="558" spans="1:12" ht="14.25" x14ac:dyDescent="0.2">
      <c r="A558" s="154"/>
      <c r="B558" s="154"/>
      <c r="C558" s="154"/>
      <c r="D558" s="154"/>
      <c r="E558" s="154"/>
      <c r="F558" s="154"/>
      <c r="G558" s="154"/>
      <c r="H558" s="155"/>
    </row>
    <row r="559" spans="1:12" ht="14.25" x14ac:dyDescent="0.2">
      <c r="A559" s="154"/>
      <c r="B559" s="154"/>
      <c r="C559" s="154"/>
      <c r="D559" s="154"/>
      <c r="E559" s="154"/>
      <c r="F559" s="154"/>
      <c r="G559" s="154"/>
      <c r="H559" s="155"/>
    </row>
    <row r="560" spans="1:12" ht="14.25" x14ac:dyDescent="0.2">
      <c r="A560" s="154"/>
      <c r="B560" s="154"/>
      <c r="C560" s="154"/>
      <c r="D560" s="154"/>
      <c r="E560" s="174" t="s">
        <v>1739</v>
      </c>
      <c r="F560" s="154"/>
      <c r="G560" s="154"/>
      <c r="H560" s="155"/>
    </row>
    <row r="570" spans="5:5" x14ac:dyDescent="0.2">
      <c r="E570" s="3"/>
    </row>
  </sheetData>
  <mergeCells count="7">
    <mergeCell ref="A15:H15"/>
    <mergeCell ref="A17:H17"/>
    <mergeCell ref="A482:D482"/>
    <mergeCell ref="A483:C483"/>
    <mergeCell ref="D483:E483"/>
    <mergeCell ref="A19:H19"/>
    <mergeCell ref="A21:H21"/>
  </mergeCells>
  <phoneticPr fontId="2" type="noConversion"/>
  <pageMargins left="0.5" right="0.25" top="1" bottom="1" header="0.5" footer="0.5"/>
  <pageSetup scale="89" orientation="portrait" r:id="rId1"/>
  <headerFooter alignWithMargins="0"/>
  <rowBreaks count="10" manualBreakCount="10">
    <brk id="52" max="7" man="1"/>
    <brk id="102" max="16383" man="1"/>
    <brk id="154" max="16383" man="1"/>
    <brk id="206" max="16383" man="1"/>
    <brk id="258" max="16383" man="1"/>
    <brk id="309" max="16383" man="1"/>
    <brk id="361" max="7" man="1"/>
    <brk id="414" max="16383" man="1"/>
    <brk id="471" max="16383" man="1"/>
    <brk id="518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124"/>
  <sheetViews>
    <sheetView zoomScaleNormal="100" workbookViewId="0"/>
  </sheetViews>
  <sheetFormatPr defaultRowHeight="12.75" x14ac:dyDescent="0.2"/>
  <cols>
    <col min="1" max="1" width="14.85546875" bestFit="1" customWidth="1"/>
    <col min="2" max="2" width="38.5703125" customWidth="1"/>
    <col min="3" max="3" width="12.85546875" customWidth="1"/>
    <col min="4" max="4" width="13.28515625" customWidth="1"/>
    <col min="5" max="6" width="14.140625" bestFit="1" customWidth="1"/>
  </cols>
  <sheetData>
    <row r="1" spans="1:6" x14ac:dyDescent="0.2">
      <c r="A1" t="s">
        <v>1410</v>
      </c>
      <c r="B1" s="4" t="s">
        <v>638</v>
      </c>
    </row>
    <row r="2" spans="1:6" x14ac:dyDescent="0.2">
      <c r="B2" s="4" t="s">
        <v>567</v>
      </c>
      <c r="C2" s="1" t="s">
        <v>1410</v>
      </c>
      <c r="D2" s="1" t="s">
        <v>1410</v>
      </c>
      <c r="E2" s="1" t="s">
        <v>1410</v>
      </c>
      <c r="F2" s="1" t="s">
        <v>1410</v>
      </c>
    </row>
    <row r="3" spans="1:6" x14ac:dyDescent="0.2">
      <c r="C3" s="1" t="s">
        <v>1529</v>
      </c>
      <c r="D3" s="1" t="s">
        <v>1529</v>
      </c>
      <c r="E3" s="1" t="s">
        <v>1529</v>
      </c>
      <c r="F3" s="1" t="s">
        <v>1529</v>
      </c>
    </row>
    <row r="4" spans="1:6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6" x14ac:dyDescent="0.2">
      <c r="B5" s="4" t="s">
        <v>299</v>
      </c>
      <c r="C5" s="62"/>
    </row>
    <row r="6" spans="1:6" x14ac:dyDescent="0.2">
      <c r="A6" t="s">
        <v>752</v>
      </c>
      <c r="B6" s="253" t="s">
        <v>2107</v>
      </c>
      <c r="C6" s="66">
        <v>678.3</v>
      </c>
      <c r="D6" s="8">
        <v>681.52</v>
      </c>
      <c r="E6" s="66">
        <v>0</v>
      </c>
      <c r="F6" s="66">
        <v>0</v>
      </c>
    </row>
    <row r="7" spans="1:6" x14ac:dyDescent="0.2">
      <c r="A7" t="s">
        <v>659</v>
      </c>
      <c r="B7" s="253" t="s">
        <v>2108</v>
      </c>
      <c r="C7" s="67">
        <v>678.3</v>
      </c>
      <c r="D7" s="10">
        <v>624.14</v>
      </c>
      <c r="E7" s="67">
        <v>0</v>
      </c>
      <c r="F7" s="67">
        <v>0</v>
      </c>
    </row>
    <row r="8" spans="1:6" x14ac:dyDescent="0.2">
      <c r="A8" t="s">
        <v>660</v>
      </c>
      <c r="B8" s="253" t="s">
        <v>2109</v>
      </c>
      <c r="C8" s="67">
        <v>678.3</v>
      </c>
      <c r="D8" s="10">
        <v>681.52</v>
      </c>
      <c r="E8" s="67">
        <v>0</v>
      </c>
      <c r="F8" s="67">
        <v>0</v>
      </c>
    </row>
    <row r="9" spans="1:6" x14ac:dyDescent="0.2">
      <c r="A9" t="s">
        <v>661</v>
      </c>
      <c r="B9" s="253" t="s">
        <v>2110</v>
      </c>
      <c r="C9" s="67">
        <v>678.3</v>
      </c>
      <c r="D9" s="10">
        <v>681.52</v>
      </c>
      <c r="E9" s="67">
        <v>0</v>
      </c>
      <c r="F9" s="67">
        <v>0</v>
      </c>
    </row>
    <row r="10" spans="1:6" x14ac:dyDescent="0.2">
      <c r="A10" t="s">
        <v>662</v>
      </c>
      <c r="B10" s="253" t="s">
        <v>2111</v>
      </c>
      <c r="C10" s="67">
        <v>678.3</v>
      </c>
      <c r="D10" s="10">
        <v>738.9</v>
      </c>
      <c r="E10" s="67">
        <v>0</v>
      </c>
      <c r="F10" s="67">
        <v>0</v>
      </c>
    </row>
    <row r="11" spans="1:6" x14ac:dyDescent="0.2">
      <c r="A11" t="s">
        <v>663</v>
      </c>
      <c r="B11" s="253" t="s">
        <v>2112</v>
      </c>
      <c r="C11" s="67">
        <v>736.54</v>
      </c>
      <c r="D11" s="10">
        <v>1013.42</v>
      </c>
      <c r="E11" s="67">
        <v>0</v>
      </c>
      <c r="F11" s="67">
        <v>0</v>
      </c>
    </row>
    <row r="12" spans="1:6" x14ac:dyDescent="0.2">
      <c r="A12" t="s">
        <v>664</v>
      </c>
      <c r="B12" s="253" t="s">
        <v>1746</v>
      </c>
      <c r="C12" s="67">
        <v>50.08</v>
      </c>
      <c r="D12" s="10">
        <v>24.03</v>
      </c>
      <c r="E12" s="67">
        <v>0</v>
      </c>
      <c r="F12" s="67">
        <v>0</v>
      </c>
    </row>
    <row r="13" spans="1:6" x14ac:dyDescent="0.2">
      <c r="A13" t="s">
        <v>665</v>
      </c>
      <c r="B13" s="253" t="s">
        <v>1882</v>
      </c>
      <c r="C13" s="63">
        <v>0</v>
      </c>
      <c r="D13" s="12">
        <v>0</v>
      </c>
      <c r="E13" s="12">
        <v>0</v>
      </c>
      <c r="F13" s="12">
        <v>0</v>
      </c>
    </row>
    <row r="14" spans="1:6" ht="13.5" thickBot="1" x14ac:dyDescent="0.25">
      <c r="B14" s="6" t="s">
        <v>129</v>
      </c>
      <c r="C14" s="71">
        <f>SUM(C6:C13)</f>
        <v>4178.12</v>
      </c>
      <c r="D14" s="17">
        <f>SUM(D6:D13)</f>
        <v>4445.0499999999993</v>
      </c>
      <c r="E14" s="17">
        <f>SUM(E6:E13)</f>
        <v>0</v>
      </c>
      <c r="F14" s="17">
        <f>SUM(F6:F13)</f>
        <v>0</v>
      </c>
    </row>
    <row r="15" spans="1:6" ht="13.5" thickTop="1" x14ac:dyDescent="0.2">
      <c r="C15" s="62"/>
    </row>
    <row r="16" spans="1:6" x14ac:dyDescent="0.2">
      <c r="C16" s="62"/>
    </row>
    <row r="17" spans="1:7" x14ac:dyDescent="0.2">
      <c r="B17" s="4" t="s">
        <v>844</v>
      </c>
      <c r="C17" s="62"/>
    </row>
    <row r="18" spans="1:7" x14ac:dyDescent="0.2">
      <c r="A18" t="s">
        <v>565</v>
      </c>
      <c r="B18" s="254" t="s">
        <v>2113</v>
      </c>
      <c r="C18" s="66">
        <v>2349.42</v>
      </c>
      <c r="D18" s="8">
        <v>2241.37</v>
      </c>
      <c r="E18" s="8">
        <v>0</v>
      </c>
      <c r="F18" s="8">
        <v>0</v>
      </c>
      <c r="G18" s="105"/>
    </row>
    <row r="19" spans="1:7" x14ac:dyDescent="0.2">
      <c r="A19" t="s">
        <v>564</v>
      </c>
      <c r="B19" s="254" t="s">
        <v>2114</v>
      </c>
      <c r="C19" s="67">
        <v>1735</v>
      </c>
      <c r="D19" s="10">
        <v>1403.64</v>
      </c>
      <c r="E19" s="10">
        <v>0</v>
      </c>
      <c r="F19" s="8">
        <v>0</v>
      </c>
    </row>
    <row r="20" spans="1:7" x14ac:dyDescent="0.2">
      <c r="A20" t="s">
        <v>560</v>
      </c>
      <c r="B20" s="254" t="s">
        <v>2115</v>
      </c>
      <c r="C20" s="67">
        <v>0</v>
      </c>
      <c r="D20" s="10">
        <v>1390.52</v>
      </c>
      <c r="E20" s="10">
        <v>0</v>
      </c>
      <c r="F20" s="8">
        <v>0</v>
      </c>
    </row>
    <row r="21" spans="1:7" x14ac:dyDescent="0.2">
      <c r="A21" t="s">
        <v>561</v>
      </c>
      <c r="B21" s="254" t="s">
        <v>2116</v>
      </c>
      <c r="C21" s="67">
        <v>0</v>
      </c>
      <c r="D21" s="10">
        <v>0</v>
      </c>
      <c r="E21" s="10">
        <v>0</v>
      </c>
      <c r="F21" s="8">
        <v>0</v>
      </c>
    </row>
    <row r="22" spans="1:7" x14ac:dyDescent="0.2">
      <c r="A22" t="s">
        <v>562</v>
      </c>
      <c r="B22" s="254" t="s">
        <v>2117</v>
      </c>
      <c r="C22" s="67">
        <v>716.91</v>
      </c>
      <c r="D22" s="10">
        <v>1231.8399999999999</v>
      </c>
      <c r="E22" s="10">
        <v>0</v>
      </c>
      <c r="F22" s="8">
        <v>0</v>
      </c>
    </row>
    <row r="23" spans="1:7" x14ac:dyDescent="0.2">
      <c r="A23" t="s">
        <v>563</v>
      </c>
      <c r="B23" s="254" t="s">
        <v>2118</v>
      </c>
      <c r="C23" s="67">
        <v>0</v>
      </c>
      <c r="D23" s="10">
        <v>1330.52</v>
      </c>
      <c r="E23" s="10">
        <v>0</v>
      </c>
      <c r="F23" s="8">
        <v>0</v>
      </c>
    </row>
    <row r="24" spans="1:7" x14ac:dyDescent="0.2">
      <c r="A24" t="s">
        <v>566</v>
      </c>
      <c r="B24" s="253" t="s">
        <v>2119</v>
      </c>
      <c r="C24" s="63">
        <v>0</v>
      </c>
      <c r="D24" s="12">
        <v>0</v>
      </c>
      <c r="E24" s="12">
        <v>0</v>
      </c>
      <c r="F24" s="12">
        <v>0</v>
      </c>
    </row>
    <row r="25" spans="1:7" ht="13.5" thickBot="1" x14ac:dyDescent="0.25">
      <c r="B25" s="6" t="s">
        <v>1319</v>
      </c>
      <c r="C25" s="71">
        <f>SUM(C18:C24)</f>
        <v>4801.33</v>
      </c>
      <c r="D25" s="17">
        <f>SUM(D18:D24)</f>
        <v>7597.8900000000012</v>
      </c>
      <c r="E25" s="17">
        <f>SUM(E18:E24)</f>
        <v>0</v>
      </c>
      <c r="F25" s="17">
        <f>SUM(F18:F24)</f>
        <v>0</v>
      </c>
    </row>
    <row r="26" spans="1:7" ht="13.5" thickTop="1" x14ac:dyDescent="0.2">
      <c r="B26" s="6"/>
      <c r="C26" s="72"/>
      <c r="D26" s="15"/>
      <c r="E26" s="15"/>
      <c r="F26" s="15"/>
    </row>
    <row r="27" spans="1:7" x14ac:dyDescent="0.2">
      <c r="B27" s="6"/>
      <c r="C27" s="72"/>
      <c r="D27" s="15"/>
      <c r="E27" s="15"/>
      <c r="F27" s="15"/>
    </row>
    <row r="28" spans="1:7" x14ac:dyDescent="0.2">
      <c r="B28" s="4" t="s">
        <v>638</v>
      </c>
      <c r="C28" s="75" t="s">
        <v>1410</v>
      </c>
      <c r="D28" s="1" t="s">
        <v>1410</v>
      </c>
      <c r="E28" s="1" t="s">
        <v>1410</v>
      </c>
      <c r="F28" s="1" t="s">
        <v>1410</v>
      </c>
    </row>
    <row r="29" spans="1:7" x14ac:dyDescent="0.2">
      <c r="B29" s="4" t="s">
        <v>567</v>
      </c>
      <c r="C29" s="75" t="s">
        <v>1410</v>
      </c>
      <c r="D29" s="1" t="s">
        <v>1410</v>
      </c>
      <c r="E29" s="1" t="s">
        <v>1410</v>
      </c>
      <c r="F29" s="1" t="s">
        <v>1410</v>
      </c>
    </row>
    <row r="30" spans="1:7" x14ac:dyDescent="0.2">
      <c r="B30" s="4" t="s">
        <v>1321</v>
      </c>
      <c r="C30" s="75" t="s">
        <v>1410</v>
      </c>
      <c r="D30" s="1" t="s">
        <v>1410</v>
      </c>
      <c r="E30" s="1" t="s">
        <v>1410</v>
      </c>
      <c r="F30" s="1" t="s">
        <v>1410</v>
      </c>
    </row>
    <row r="31" spans="1:7" x14ac:dyDescent="0.2">
      <c r="C31" s="77" t="str">
        <f>+C4</f>
        <v>2018 ACTUAL</v>
      </c>
      <c r="D31" s="77" t="str">
        <f>+D4</f>
        <v>2019 ACTUAL</v>
      </c>
      <c r="E31" s="77" t="str">
        <f>+E4</f>
        <v>2020 BUDGET</v>
      </c>
      <c r="F31" s="77" t="str">
        <f>+F4</f>
        <v>2021 BUDGET</v>
      </c>
    </row>
    <row r="32" spans="1:7" x14ac:dyDescent="0.2">
      <c r="C32" s="75"/>
      <c r="D32" s="1"/>
      <c r="E32" s="1"/>
      <c r="F32" s="1"/>
    </row>
    <row r="33" spans="2:6" x14ac:dyDescent="0.2">
      <c r="B33" t="s">
        <v>1322</v>
      </c>
      <c r="C33" s="66">
        <v>12857.87</v>
      </c>
      <c r="D33" s="8">
        <f>C41</f>
        <v>12234.660000000002</v>
      </c>
      <c r="E33" s="8">
        <f>D41</f>
        <v>9081.8199999999979</v>
      </c>
      <c r="F33" s="8">
        <f>E41</f>
        <v>9081.8199999999979</v>
      </c>
    </row>
    <row r="34" spans="2:6" x14ac:dyDescent="0.2">
      <c r="C34" s="62"/>
    </row>
    <row r="35" spans="2:6" x14ac:dyDescent="0.2">
      <c r="B35" t="s">
        <v>106</v>
      </c>
      <c r="C35" s="67">
        <f>C14</f>
        <v>4178.12</v>
      </c>
      <c r="D35" s="10">
        <f>D14</f>
        <v>4445.0499999999993</v>
      </c>
      <c r="E35" s="10">
        <f>E14</f>
        <v>0</v>
      </c>
      <c r="F35" s="10">
        <f>F14</f>
        <v>0</v>
      </c>
    </row>
    <row r="36" spans="2:6" x14ac:dyDescent="0.2">
      <c r="C36" s="67"/>
      <c r="D36" s="10"/>
      <c r="E36" s="10"/>
      <c r="F36" s="10"/>
    </row>
    <row r="37" spans="2:6" x14ac:dyDescent="0.2">
      <c r="B37" t="s">
        <v>1404</v>
      </c>
      <c r="C37" s="67">
        <f>C25</f>
        <v>4801.33</v>
      </c>
      <c r="D37" s="10">
        <f>D25</f>
        <v>7597.8900000000012</v>
      </c>
      <c r="E37" s="10">
        <f>E25</f>
        <v>0</v>
      </c>
      <c r="F37" s="10">
        <f>F25</f>
        <v>0</v>
      </c>
    </row>
    <row r="38" spans="2:6" x14ac:dyDescent="0.2">
      <c r="C38" s="67"/>
      <c r="D38" s="10"/>
      <c r="E38" s="10"/>
      <c r="F38" s="10"/>
    </row>
    <row r="39" spans="2:6" x14ac:dyDescent="0.2">
      <c r="B39" t="s">
        <v>1325</v>
      </c>
      <c r="C39" s="63">
        <v>0</v>
      </c>
      <c r="D39" s="12">
        <v>0</v>
      </c>
      <c r="E39" s="12">
        <v>0</v>
      </c>
      <c r="F39" s="12">
        <v>0</v>
      </c>
    </row>
    <row r="40" spans="2:6" x14ac:dyDescent="0.2">
      <c r="C40" s="62"/>
    </row>
    <row r="41" spans="2:6" ht="13.5" thickBot="1" x14ac:dyDescent="0.25">
      <c r="B41" t="s">
        <v>1326</v>
      </c>
      <c r="C41" s="71">
        <f>C33+C35-C37+C39</f>
        <v>12234.660000000002</v>
      </c>
      <c r="D41" s="71">
        <f>D33+D35-D37+D39</f>
        <v>9081.8199999999979</v>
      </c>
      <c r="E41" s="71">
        <f>E33+E35-E37+E39</f>
        <v>9081.8199999999979</v>
      </c>
      <c r="F41" s="71">
        <f>F33+F35-F37+F39</f>
        <v>9081.8199999999979</v>
      </c>
    </row>
    <row r="42" spans="2:6" ht="13.5" thickTop="1" x14ac:dyDescent="0.2"/>
    <row r="43" spans="2:6" x14ac:dyDescent="0.2">
      <c r="C43" s="10"/>
      <c r="D43" s="207"/>
    </row>
    <row r="44" spans="2:6" x14ac:dyDescent="0.2">
      <c r="D44" s="10"/>
    </row>
    <row r="124" spans="3:6" x14ac:dyDescent="0.2">
      <c r="C124" s="9"/>
      <c r="D124" s="9"/>
      <c r="E124" s="9"/>
      <c r="F124" s="9"/>
    </row>
  </sheetData>
  <phoneticPr fontId="2" type="noConversion"/>
  <pageMargins left="0.5" right="0.5" top="1" bottom="1" header="0.5" footer="0.5"/>
  <pageSetup scale="85" firstPageNumber="27" orientation="portrait" useFirstPageNumber="1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134"/>
  <sheetViews>
    <sheetView zoomScaleNormal="100" workbookViewId="0"/>
  </sheetViews>
  <sheetFormatPr defaultRowHeight="12.75" x14ac:dyDescent="0.2"/>
  <cols>
    <col min="1" max="1" width="14.85546875" bestFit="1" customWidth="1"/>
    <col min="2" max="2" width="39.5703125" customWidth="1"/>
    <col min="3" max="3" width="12.85546875" customWidth="1"/>
    <col min="4" max="4" width="13.140625" style="62" customWidth="1"/>
    <col min="5" max="5" width="14.140625" style="62" bestFit="1" customWidth="1"/>
    <col min="6" max="6" width="13.7109375" style="62" customWidth="1"/>
  </cols>
  <sheetData>
    <row r="1" spans="1:7" x14ac:dyDescent="0.2">
      <c r="A1" t="s">
        <v>1410</v>
      </c>
      <c r="B1" s="4" t="s">
        <v>638</v>
      </c>
      <c r="C1" s="1" t="s">
        <v>1410</v>
      </c>
      <c r="D1" s="75" t="s">
        <v>1410</v>
      </c>
      <c r="E1" s="75" t="s">
        <v>1410</v>
      </c>
      <c r="F1" s="75" t="s">
        <v>1410</v>
      </c>
    </row>
    <row r="2" spans="1:7" x14ac:dyDescent="0.2">
      <c r="B2" s="4" t="s">
        <v>568</v>
      </c>
      <c r="C2" s="1" t="s">
        <v>1529</v>
      </c>
      <c r="D2" s="75" t="s">
        <v>1529</v>
      </c>
      <c r="E2" s="75" t="s">
        <v>1529</v>
      </c>
      <c r="F2" s="75" t="s">
        <v>1529</v>
      </c>
    </row>
    <row r="3" spans="1:7" x14ac:dyDescent="0.2">
      <c r="B3" s="4"/>
      <c r="C3" s="1" t="s">
        <v>1410</v>
      </c>
      <c r="D3" s="75" t="s">
        <v>1410</v>
      </c>
      <c r="E3" s="75" t="s">
        <v>1410</v>
      </c>
      <c r="F3" s="75" t="s">
        <v>1410</v>
      </c>
    </row>
    <row r="4" spans="1:7" x14ac:dyDescent="0.2">
      <c r="A4" s="37"/>
      <c r="B4" s="4" t="s">
        <v>299</v>
      </c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7" x14ac:dyDescent="0.2">
      <c r="A5" t="s">
        <v>666</v>
      </c>
      <c r="B5" s="254" t="s">
        <v>1831</v>
      </c>
      <c r="C5" s="95">
        <v>0</v>
      </c>
      <c r="D5" s="95">
        <v>0</v>
      </c>
      <c r="E5" s="95">
        <v>45698</v>
      </c>
      <c r="F5" s="95">
        <f>+intro!H380</f>
        <v>23196.108109975921</v>
      </c>
      <c r="G5" s="62"/>
    </row>
    <row r="6" spans="1:7" x14ac:dyDescent="0.2">
      <c r="A6" s="18" t="s">
        <v>667</v>
      </c>
      <c r="B6" s="254" t="s">
        <v>1832</v>
      </c>
      <c r="C6" s="67">
        <v>0</v>
      </c>
      <c r="D6" s="67">
        <v>0</v>
      </c>
      <c r="E6" s="67">
        <v>1250</v>
      </c>
      <c r="F6" s="67">
        <f>+intro!K390</f>
        <v>700</v>
      </c>
    </row>
    <row r="7" spans="1:7" x14ac:dyDescent="0.2">
      <c r="A7" s="18" t="s">
        <v>1502</v>
      </c>
      <c r="B7" s="254" t="s">
        <v>2120</v>
      </c>
      <c r="C7" s="67">
        <v>0</v>
      </c>
      <c r="D7" s="67">
        <v>41376.19</v>
      </c>
      <c r="E7" s="67">
        <v>5000</v>
      </c>
      <c r="F7" s="67">
        <v>10000</v>
      </c>
    </row>
    <row r="8" spans="1:7" x14ac:dyDescent="0.2">
      <c r="A8" t="s">
        <v>1339</v>
      </c>
      <c r="B8" s="253" t="s">
        <v>2121</v>
      </c>
      <c r="C8" s="54">
        <v>63568.95</v>
      </c>
      <c r="D8" s="54">
        <v>63152.800000000003</v>
      </c>
      <c r="E8" s="54">
        <v>63000</v>
      </c>
      <c r="F8" s="54">
        <v>63000</v>
      </c>
    </row>
    <row r="9" spans="1:7" x14ac:dyDescent="0.2">
      <c r="A9" s="18" t="s">
        <v>392</v>
      </c>
      <c r="B9" s="265" t="s">
        <v>2122</v>
      </c>
      <c r="C9" s="63">
        <v>9677.02</v>
      </c>
      <c r="D9" s="63">
        <v>18658.57</v>
      </c>
      <c r="E9" s="63">
        <v>10000</v>
      </c>
      <c r="F9" s="63">
        <v>10000</v>
      </c>
    </row>
    <row r="10" spans="1:7" x14ac:dyDescent="0.2">
      <c r="B10" s="6" t="s">
        <v>1099</v>
      </c>
      <c r="C10" s="69">
        <f>SUM(C5:C9)</f>
        <v>73245.97</v>
      </c>
      <c r="D10" s="69">
        <f>SUM(D5:D9)</f>
        <v>123187.56</v>
      </c>
      <c r="E10" s="69">
        <f>SUM(E5:E9)</f>
        <v>124948</v>
      </c>
      <c r="F10" s="69">
        <f>SUM(F5:F9)</f>
        <v>106896.10810997592</v>
      </c>
    </row>
    <row r="11" spans="1:7" x14ac:dyDescent="0.2">
      <c r="C11" s="62"/>
    </row>
    <row r="12" spans="1:7" x14ac:dyDescent="0.2">
      <c r="A12" s="18"/>
      <c r="B12" s="4" t="s">
        <v>1557</v>
      </c>
      <c r="C12" s="62"/>
    </row>
    <row r="13" spans="1:7" x14ac:dyDescent="0.2">
      <c r="A13" t="s">
        <v>1340</v>
      </c>
      <c r="B13" s="253" t="s">
        <v>1746</v>
      </c>
      <c r="C13" s="74">
        <v>3855.73</v>
      </c>
      <c r="D13" s="74">
        <v>5332.88</v>
      </c>
      <c r="E13" s="74">
        <v>1000</v>
      </c>
      <c r="F13" s="74">
        <v>1000</v>
      </c>
    </row>
    <row r="14" spans="1:7" x14ac:dyDescent="0.2">
      <c r="A14" t="s">
        <v>1341</v>
      </c>
      <c r="B14" s="253" t="s">
        <v>2123</v>
      </c>
      <c r="C14" s="82">
        <v>69695.17</v>
      </c>
      <c r="D14" s="82">
        <v>54893.45</v>
      </c>
      <c r="E14" s="82">
        <v>80000</v>
      </c>
      <c r="F14" s="82">
        <v>80000</v>
      </c>
    </row>
    <row r="15" spans="1:7" x14ac:dyDescent="0.2">
      <c r="A15" s="18" t="s">
        <v>1342</v>
      </c>
      <c r="B15" s="254" t="s">
        <v>2103</v>
      </c>
      <c r="C15" s="67">
        <v>4728.6000000000004</v>
      </c>
      <c r="D15" s="67">
        <v>2598.46</v>
      </c>
      <c r="E15" s="67">
        <v>4000</v>
      </c>
      <c r="F15" s="67">
        <v>4000</v>
      </c>
    </row>
    <row r="16" spans="1:7" x14ac:dyDescent="0.2">
      <c r="A16" s="18" t="s">
        <v>393</v>
      </c>
      <c r="B16" s="254" t="s">
        <v>1879</v>
      </c>
      <c r="C16" s="67">
        <v>0</v>
      </c>
      <c r="D16" s="67">
        <v>0</v>
      </c>
      <c r="E16" s="67">
        <v>0</v>
      </c>
      <c r="F16" s="67">
        <v>0</v>
      </c>
    </row>
    <row r="17" spans="1:6" x14ac:dyDescent="0.2">
      <c r="A17" t="s">
        <v>1343</v>
      </c>
      <c r="B17" s="253" t="s">
        <v>1882</v>
      </c>
      <c r="C17" s="54">
        <v>0</v>
      </c>
      <c r="D17" s="54">
        <v>139.38</v>
      </c>
      <c r="E17" s="54">
        <v>1400</v>
      </c>
      <c r="F17" s="54">
        <v>1400</v>
      </c>
    </row>
    <row r="18" spans="1:6" x14ac:dyDescent="0.2">
      <c r="A18" t="s">
        <v>1644</v>
      </c>
      <c r="B18" s="253" t="s">
        <v>1885</v>
      </c>
      <c r="C18" s="63">
        <v>0</v>
      </c>
      <c r="D18" s="63">
        <v>0</v>
      </c>
      <c r="E18" s="63">
        <v>0</v>
      </c>
      <c r="F18" s="63">
        <v>0</v>
      </c>
    </row>
    <row r="19" spans="1:6" x14ac:dyDescent="0.2">
      <c r="B19" s="6" t="s">
        <v>1099</v>
      </c>
      <c r="C19" s="69">
        <f>SUM(C13:C18)</f>
        <v>78279.5</v>
      </c>
      <c r="D19" s="69">
        <f>SUM(D13:D18)</f>
        <v>62964.169999999991</v>
      </c>
      <c r="E19" s="69">
        <f>SUM(E13:E18)</f>
        <v>86400</v>
      </c>
      <c r="F19" s="69">
        <f>SUM(F13:F18)</f>
        <v>86400</v>
      </c>
    </row>
    <row r="20" spans="1:6" x14ac:dyDescent="0.2">
      <c r="C20" s="62"/>
    </row>
    <row r="21" spans="1:6" ht="13.5" thickBot="1" x14ac:dyDescent="0.25">
      <c r="B21" s="6" t="s">
        <v>129</v>
      </c>
      <c r="C21" s="71">
        <f>C10+C19</f>
        <v>151525.47</v>
      </c>
      <c r="D21" s="71">
        <f>D10+D19</f>
        <v>186151.72999999998</v>
      </c>
      <c r="E21" s="71">
        <f>E10+E19</f>
        <v>211348</v>
      </c>
      <c r="F21" s="71">
        <f>F10+F19</f>
        <v>193296.10810997593</v>
      </c>
    </row>
    <row r="22" spans="1:6" ht="13.5" thickTop="1" x14ac:dyDescent="0.2">
      <c r="C22" s="62"/>
    </row>
    <row r="23" spans="1:6" x14ac:dyDescent="0.2">
      <c r="A23" s="59"/>
      <c r="B23" s="4" t="s">
        <v>844</v>
      </c>
      <c r="C23" s="62"/>
    </row>
    <row r="24" spans="1:6" x14ac:dyDescent="0.2">
      <c r="A24" t="s">
        <v>403</v>
      </c>
      <c r="B24" s="253" t="s">
        <v>2124</v>
      </c>
      <c r="C24" s="66">
        <v>30000</v>
      </c>
      <c r="D24" s="66">
        <v>30000</v>
      </c>
      <c r="E24" s="66">
        <v>30000</v>
      </c>
      <c r="F24" s="66">
        <v>30000</v>
      </c>
    </row>
    <row r="25" spans="1:6" x14ac:dyDescent="0.2">
      <c r="A25" t="s">
        <v>359</v>
      </c>
      <c r="B25" s="262" t="s">
        <v>2125</v>
      </c>
      <c r="C25" s="67">
        <v>0</v>
      </c>
      <c r="D25" s="67">
        <v>0</v>
      </c>
      <c r="E25" s="67">
        <v>0</v>
      </c>
      <c r="F25" s="67">
        <v>0</v>
      </c>
    </row>
    <row r="26" spans="1:6" x14ac:dyDescent="0.2">
      <c r="A26" t="s">
        <v>569</v>
      </c>
      <c r="B26" s="253" t="s">
        <v>1899</v>
      </c>
      <c r="C26" s="67">
        <v>797.12</v>
      </c>
      <c r="D26" s="67">
        <v>411.12</v>
      </c>
      <c r="E26" s="67">
        <v>800</v>
      </c>
      <c r="F26" s="67">
        <v>800</v>
      </c>
    </row>
    <row r="27" spans="1:6" x14ac:dyDescent="0.2">
      <c r="A27" t="s">
        <v>577</v>
      </c>
      <c r="B27" s="253" t="s">
        <v>2029</v>
      </c>
      <c r="C27" s="67">
        <v>90.06</v>
      </c>
      <c r="D27" s="67">
        <v>135.47999999999999</v>
      </c>
      <c r="E27" s="67">
        <v>300</v>
      </c>
      <c r="F27" s="67">
        <v>300</v>
      </c>
    </row>
    <row r="28" spans="1:6" x14ac:dyDescent="0.2">
      <c r="A28" t="s">
        <v>578</v>
      </c>
      <c r="B28" s="253" t="s">
        <v>1973</v>
      </c>
      <c r="C28" s="67">
        <v>64655.15</v>
      </c>
      <c r="D28" s="67">
        <v>39008.68</v>
      </c>
      <c r="E28" s="67">
        <v>70000</v>
      </c>
      <c r="F28" s="67">
        <v>70000</v>
      </c>
    </row>
    <row r="29" spans="1:6" x14ac:dyDescent="0.2">
      <c r="A29" t="s">
        <v>1645</v>
      </c>
      <c r="B29" s="253" t="s">
        <v>1940</v>
      </c>
      <c r="C29" s="67">
        <v>0</v>
      </c>
      <c r="D29" s="67">
        <v>0</v>
      </c>
      <c r="E29" s="67">
        <v>0</v>
      </c>
      <c r="F29" s="67">
        <v>0</v>
      </c>
    </row>
    <row r="30" spans="1:6" x14ac:dyDescent="0.2">
      <c r="A30" t="s">
        <v>579</v>
      </c>
      <c r="B30" s="253" t="s">
        <v>1902</v>
      </c>
      <c r="C30" s="67">
        <v>306.11</v>
      </c>
      <c r="D30" s="67">
        <v>209.2</v>
      </c>
      <c r="E30" s="67">
        <v>500</v>
      </c>
      <c r="F30" s="67">
        <v>500</v>
      </c>
    </row>
    <row r="31" spans="1:6" x14ac:dyDescent="0.2">
      <c r="A31" t="s">
        <v>580</v>
      </c>
      <c r="B31" s="253" t="s">
        <v>1998</v>
      </c>
      <c r="C31" s="67">
        <v>16254.19</v>
      </c>
      <c r="D31" s="67">
        <v>15455.79</v>
      </c>
      <c r="E31" s="67">
        <v>16500</v>
      </c>
      <c r="F31" s="67">
        <v>16500</v>
      </c>
    </row>
    <row r="32" spans="1:6" x14ac:dyDescent="0.2">
      <c r="A32" t="s">
        <v>394</v>
      </c>
      <c r="B32" s="253" t="s">
        <v>2126</v>
      </c>
      <c r="C32" s="67">
        <v>3090.54</v>
      </c>
      <c r="D32" s="67">
        <v>1212</v>
      </c>
      <c r="E32" s="67">
        <v>3100</v>
      </c>
      <c r="F32" s="67">
        <v>4000</v>
      </c>
    </row>
    <row r="33" spans="1:6" x14ac:dyDescent="0.2">
      <c r="A33" s="5" t="s">
        <v>1668</v>
      </c>
      <c r="B33" s="254" t="s">
        <v>1926</v>
      </c>
      <c r="C33" s="67">
        <v>0</v>
      </c>
      <c r="D33" s="67">
        <v>205</v>
      </c>
      <c r="E33" s="67">
        <v>1000</v>
      </c>
      <c r="F33" s="67">
        <v>1000</v>
      </c>
    </row>
    <row r="34" spans="1:6" x14ac:dyDescent="0.2">
      <c r="A34" t="s">
        <v>581</v>
      </c>
      <c r="B34" s="253" t="s">
        <v>2127</v>
      </c>
      <c r="C34" s="67">
        <v>1064.48</v>
      </c>
      <c r="D34" s="67">
        <v>1302.5899999999999</v>
      </c>
      <c r="E34" s="67">
        <v>1500</v>
      </c>
      <c r="F34" s="67">
        <v>1500</v>
      </c>
    </row>
    <row r="35" spans="1:6" x14ac:dyDescent="0.2">
      <c r="A35" t="s">
        <v>582</v>
      </c>
      <c r="B35" s="253" t="s">
        <v>2128</v>
      </c>
      <c r="C35" s="82">
        <v>0</v>
      </c>
      <c r="D35" s="82">
        <v>0</v>
      </c>
      <c r="E35" s="82">
        <v>0</v>
      </c>
      <c r="F35" s="82">
        <v>0</v>
      </c>
    </row>
    <row r="36" spans="1:6" x14ac:dyDescent="0.2">
      <c r="A36" t="s">
        <v>583</v>
      </c>
      <c r="B36" s="253" t="s">
        <v>2129</v>
      </c>
      <c r="C36" s="96">
        <v>17502.189999999999</v>
      </c>
      <c r="D36" s="96">
        <v>73254.86</v>
      </c>
      <c r="E36" s="96">
        <v>50000</v>
      </c>
      <c r="F36" s="96">
        <v>50000</v>
      </c>
    </row>
    <row r="37" spans="1:6" x14ac:dyDescent="0.2">
      <c r="A37" t="s">
        <v>584</v>
      </c>
      <c r="B37" s="253" t="s">
        <v>1904</v>
      </c>
      <c r="C37" s="63">
        <v>2369.7600000000002</v>
      </c>
      <c r="D37" s="63">
        <v>0</v>
      </c>
      <c r="E37" s="63">
        <v>35000</v>
      </c>
      <c r="F37" s="63">
        <v>15000</v>
      </c>
    </row>
    <row r="38" spans="1:6" ht="13.5" thickBot="1" x14ac:dyDescent="0.25">
      <c r="B38" s="6" t="s">
        <v>1319</v>
      </c>
      <c r="C38" s="71">
        <f>SUM(C24:C37)</f>
        <v>136129.60000000001</v>
      </c>
      <c r="D38" s="71">
        <f>SUM(D24:D37)</f>
        <v>161194.71999999997</v>
      </c>
      <c r="E38" s="71">
        <f>SUM(E24:E37)</f>
        <v>208700</v>
      </c>
      <c r="F38" s="71">
        <f>SUM(F24:F37)</f>
        <v>189600</v>
      </c>
    </row>
    <row r="39" spans="1:6" ht="13.5" thickTop="1" x14ac:dyDescent="0.2">
      <c r="B39" s="6"/>
      <c r="C39" s="15"/>
      <c r="D39" s="72"/>
      <c r="E39" s="72"/>
      <c r="F39" s="72"/>
    </row>
    <row r="40" spans="1:6" x14ac:dyDescent="0.2">
      <c r="B40" s="4" t="s">
        <v>638</v>
      </c>
      <c r="C40" s="15"/>
      <c r="D40" s="72"/>
      <c r="E40" s="72"/>
      <c r="F40" s="72"/>
    </row>
    <row r="41" spans="1:6" x14ac:dyDescent="0.2">
      <c r="B41" s="4" t="s">
        <v>568</v>
      </c>
      <c r="C41" s="15"/>
      <c r="D41" s="72"/>
      <c r="E41" s="72"/>
      <c r="F41" s="72"/>
    </row>
    <row r="42" spans="1:6" x14ac:dyDescent="0.2">
      <c r="B42" s="31" t="s">
        <v>1321</v>
      </c>
      <c r="C42" s="15"/>
      <c r="D42" s="72"/>
      <c r="E42" s="72"/>
      <c r="F42" s="72"/>
    </row>
    <row r="43" spans="1:6" x14ac:dyDescent="0.2">
      <c r="C43" s="7" t="str">
        <f>+C4</f>
        <v>2018 ACTUAL</v>
      </c>
      <c r="D43" s="7" t="str">
        <f>+D4</f>
        <v>2019 ACTUAL</v>
      </c>
      <c r="E43" s="7" t="str">
        <f>+E4</f>
        <v>2020 BUDGET</v>
      </c>
      <c r="F43" s="7" t="str">
        <f>+F4</f>
        <v>2021 BUDGET</v>
      </c>
    </row>
    <row r="44" spans="1:6" x14ac:dyDescent="0.2">
      <c r="C44" s="1"/>
      <c r="D44" s="75"/>
      <c r="E44" s="75"/>
      <c r="F44" s="75"/>
    </row>
    <row r="45" spans="1:6" x14ac:dyDescent="0.2">
      <c r="B45" t="s">
        <v>1322</v>
      </c>
      <c r="C45" s="66">
        <v>218603.71000000005</v>
      </c>
      <c r="D45" s="66">
        <f>C53</f>
        <v>233999.58000000005</v>
      </c>
      <c r="E45" s="66">
        <f>D53</f>
        <v>258956.59000000008</v>
      </c>
      <c r="F45" s="66">
        <f>E53</f>
        <v>261604.59000000008</v>
      </c>
    </row>
    <row r="46" spans="1:6" x14ac:dyDescent="0.2">
      <c r="C46" s="67"/>
      <c r="D46" s="67"/>
      <c r="E46" s="67"/>
      <c r="F46" s="67"/>
    </row>
    <row r="47" spans="1:6" x14ac:dyDescent="0.2">
      <c r="B47" t="s">
        <v>106</v>
      </c>
      <c r="C47" s="67">
        <f>C21</f>
        <v>151525.47</v>
      </c>
      <c r="D47" s="67">
        <f>D21</f>
        <v>186151.72999999998</v>
      </c>
      <c r="E47" s="67">
        <f>E21</f>
        <v>211348</v>
      </c>
      <c r="F47" s="67">
        <f>F21</f>
        <v>193296.10810997593</v>
      </c>
    </row>
    <row r="48" spans="1:6" x14ac:dyDescent="0.2">
      <c r="C48" s="54"/>
      <c r="D48" s="54"/>
      <c r="E48" s="54"/>
      <c r="F48" s="54"/>
    </row>
    <row r="49" spans="2:6" x14ac:dyDescent="0.2">
      <c r="B49" t="s">
        <v>1404</v>
      </c>
      <c r="C49" s="54">
        <f>C38</f>
        <v>136129.60000000001</v>
      </c>
      <c r="D49" s="54">
        <f>D38</f>
        <v>161194.71999999997</v>
      </c>
      <c r="E49" s="54">
        <f>E38</f>
        <v>208700</v>
      </c>
      <c r="F49" s="54">
        <f>F38</f>
        <v>189600</v>
      </c>
    </row>
    <row r="50" spans="2:6" x14ac:dyDescent="0.2">
      <c r="C50" s="54"/>
      <c r="D50" s="54"/>
      <c r="E50" s="54"/>
      <c r="F50" s="54"/>
    </row>
    <row r="51" spans="2:6" x14ac:dyDescent="0.2">
      <c r="B51" t="s">
        <v>1325</v>
      </c>
      <c r="C51" s="63">
        <v>0</v>
      </c>
      <c r="D51" s="63">
        <v>0</v>
      </c>
      <c r="E51" s="63">
        <v>0</v>
      </c>
      <c r="F51" s="63">
        <v>0</v>
      </c>
    </row>
    <row r="52" spans="2:6" x14ac:dyDescent="0.2">
      <c r="C52" s="62"/>
    </row>
    <row r="53" spans="2:6" ht="13.5" thickBot="1" x14ac:dyDescent="0.25">
      <c r="B53" t="s">
        <v>1326</v>
      </c>
      <c r="C53" s="71">
        <f>C45+C47-C49+C51</f>
        <v>233999.58000000005</v>
      </c>
      <c r="D53" s="71">
        <f>D45+D47-D49+D51</f>
        <v>258956.59000000008</v>
      </c>
      <c r="E53" s="71">
        <f>E45+E47-E49+E51</f>
        <v>261604.59000000008</v>
      </c>
      <c r="F53" s="71">
        <f>F45+F47-F49+F51</f>
        <v>265300.69810997602</v>
      </c>
    </row>
    <row r="54" spans="2:6" ht="13.5" thickTop="1" x14ac:dyDescent="0.2"/>
    <row r="55" spans="2:6" x14ac:dyDescent="0.2">
      <c r="C55" s="10"/>
      <c r="D55" s="275"/>
    </row>
    <row r="134" spans="3:6" x14ac:dyDescent="0.2">
      <c r="C134" s="9"/>
      <c r="D134" s="81"/>
      <c r="E134" s="81"/>
      <c r="F134" s="81"/>
    </row>
  </sheetData>
  <phoneticPr fontId="2" type="noConversion"/>
  <pageMargins left="0.5" right="0.5" top="1" bottom="1" header="0.5" footer="0.5"/>
  <pageSetup scale="85" firstPageNumber="28" orientation="portrait" useFirstPageNumber="1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25"/>
  <sheetViews>
    <sheetView zoomScaleNormal="100" workbookViewId="0"/>
  </sheetViews>
  <sheetFormatPr defaultRowHeight="12.75" x14ac:dyDescent="0.2"/>
  <cols>
    <col min="1" max="1" width="14.85546875" bestFit="1" customWidth="1"/>
    <col min="2" max="2" width="40.5703125" customWidth="1"/>
    <col min="3" max="3" width="12.5703125" customWidth="1"/>
    <col min="4" max="6" width="13.28515625" bestFit="1" customWidth="1"/>
  </cols>
  <sheetData>
    <row r="1" spans="1:6" x14ac:dyDescent="0.2">
      <c r="A1" t="s">
        <v>1410</v>
      </c>
      <c r="B1" s="4" t="s">
        <v>638</v>
      </c>
    </row>
    <row r="2" spans="1:6" x14ac:dyDescent="0.2">
      <c r="B2" s="4" t="s">
        <v>588</v>
      </c>
      <c r="C2" s="1" t="s">
        <v>1410</v>
      </c>
      <c r="D2" s="1" t="s">
        <v>1410</v>
      </c>
      <c r="E2" s="1" t="s">
        <v>1410</v>
      </c>
      <c r="F2" s="1" t="s">
        <v>1410</v>
      </c>
    </row>
    <row r="3" spans="1:6" x14ac:dyDescent="0.2">
      <c r="C3" s="1" t="s">
        <v>1410</v>
      </c>
      <c r="D3" s="1" t="s">
        <v>1410</v>
      </c>
      <c r="E3" s="1" t="s">
        <v>1410</v>
      </c>
      <c r="F3" s="1" t="s">
        <v>1410</v>
      </c>
    </row>
    <row r="4" spans="1:6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6" x14ac:dyDescent="0.2">
      <c r="B5" s="4" t="s">
        <v>299</v>
      </c>
      <c r="C5" s="62"/>
      <c r="D5" s="62"/>
      <c r="E5" s="62"/>
      <c r="F5" s="62"/>
    </row>
    <row r="6" spans="1:6" x14ac:dyDescent="0.2">
      <c r="A6" t="s">
        <v>1503</v>
      </c>
      <c r="B6" s="254" t="s">
        <v>2130</v>
      </c>
      <c r="C6" s="66">
        <v>10544.94</v>
      </c>
      <c r="D6" s="66">
        <v>13996.31</v>
      </c>
      <c r="E6" s="66">
        <v>11000</v>
      </c>
      <c r="F6" s="66">
        <v>12000</v>
      </c>
    </row>
    <row r="7" spans="1:6" x14ac:dyDescent="0.2">
      <c r="A7" t="s">
        <v>1345</v>
      </c>
      <c r="B7" s="253" t="s">
        <v>1746</v>
      </c>
      <c r="C7" s="67">
        <v>1199.72</v>
      </c>
      <c r="D7" s="67">
        <v>1420.33</v>
      </c>
      <c r="E7" s="67">
        <v>2000</v>
      </c>
      <c r="F7" s="67">
        <v>1000</v>
      </c>
    </row>
    <row r="8" spans="1:6" x14ac:dyDescent="0.2">
      <c r="A8" t="s">
        <v>1344</v>
      </c>
      <c r="B8" s="253" t="s">
        <v>2131</v>
      </c>
      <c r="C8" s="63">
        <v>0</v>
      </c>
      <c r="D8" s="63">
        <v>0</v>
      </c>
      <c r="E8" s="63">
        <v>0</v>
      </c>
      <c r="F8" s="63">
        <v>0</v>
      </c>
    </row>
    <row r="9" spans="1:6" ht="13.5" thickBot="1" x14ac:dyDescent="0.25">
      <c r="B9" s="6" t="s">
        <v>129</v>
      </c>
      <c r="C9" s="71">
        <f>SUM(C6:C8)</f>
        <v>11744.66</v>
      </c>
      <c r="D9" s="71">
        <f>SUM(D6:D8)</f>
        <v>15416.64</v>
      </c>
      <c r="E9" s="71">
        <f>SUM(E6:E8)</f>
        <v>13000</v>
      </c>
      <c r="F9" s="71">
        <f>SUM(F6:F8)</f>
        <v>13000</v>
      </c>
    </row>
    <row r="10" spans="1:6" ht="13.5" thickTop="1" x14ac:dyDescent="0.2">
      <c r="A10" t="s">
        <v>1410</v>
      </c>
      <c r="C10" s="62"/>
      <c r="D10" s="62"/>
      <c r="E10" s="62"/>
      <c r="F10" s="62"/>
    </row>
    <row r="11" spans="1:6" x14ac:dyDescent="0.2">
      <c r="A11" t="s">
        <v>1410</v>
      </c>
      <c r="C11" s="62"/>
      <c r="D11" s="62"/>
      <c r="E11" s="62"/>
      <c r="F11" s="62"/>
    </row>
    <row r="12" spans="1:6" x14ac:dyDescent="0.2">
      <c r="A12" s="133"/>
      <c r="B12" s="4" t="s">
        <v>844</v>
      </c>
      <c r="C12" s="62"/>
      <c r="D12" s="62"/>
      <c r="E12" s="62"/>
      <c r="F12" s="62"/>
    </row>
    <row r="13" spans="1:6" x14ac:dyDescent="0.2">
      <c r="A13" t="s">
        <v>585</v>
      </c>
      <c r="B13" s="254" t="s">
        <v>1902</v>
      </c>
      <c r="C13" s="66">
        <v>0</v>
      </c>
      <c r="D13" s="66">
        <v>0</v>
      </c>
      <c r="E13" s="66">
        <v>5000</v>
      </c>
      <c r="F13" s="66">
        <v>2000</v>
      </c>
    </row>
    <row r="14" spans="1:6" x14ac:dyDescent="0.2">
      <c r="A14" t="s">
        <v>586</v>
      </c>
      <c r="B14" s="254" t="s">
        <v>2132</v>
      </c>
      <c r="C14" s="67">
        <v>0</v>
      </c>
      <c r="D14" s="67">
        <v>5153.37</v>
      </c>
      <c r="E14" s="67">
        <v>0</v>
      </c>
      <c r="F14" s="67">
        <v>3000</v>
      </c>
    </row>
    <row r="15" spans="1:6" x14ac:dyDescent="0.2">
      <c r="A15" t="s">
        <v>587</v>
      </c>
      <c r="B15" s="253" t="s">
        <v>1904</v>
      </c>
      <c r="C15" s="63">
        <v>3465.34</v>
      </c>
      <c r="D15" s="63">
        <v>0</v>
      </c>
      <c r="E15" s="63">
        <v>6600</v>
      </c>
      <c r="F15" s="63">
        <v>7000</v>
      </c>
    </row>
    <row r="16" spans="1:6" ht="13.5" thickBot="1" x14ac:dyDescent="0.25">
      <c r="B16" s="6" t="s">
        <v>1319</v>
      </c>
      <c r="C16" s="71">
        <f>SUM(C13:C15)</f>
        <v>3465.34</v>
      </c>
      <c r="D16" s="71">
        <f>SUM(D13:D15)</f>
        <v>5153.37</v>
      </c>
      <c r="E16" s="71">
        <f>SUM(E13:E15)</f>
        <v>11600</v>
      </c>
      <c r="F16" s="71">
        <f>SUM(F13:F15)</f>
        <v>12000</v>
      </c>
    </row>
    <row r="17" spans="1:6" ht="13.5" thickTop="1" x14ac:dyDescent="0.2">
      <c r="B17" s="6"/>
      <c r="C17" s="72"/>
      <c r="D17" s="72"/>
      <c r="E17" s="72"/>
      <c r="F17" s="72"/>
    </row>
    <row r="18" spans="1:6" x14ac:dyDescent="0.2">
      <c r="B18" s="6"/>
      <c r="C18" s="72"/>
      <c r="D18" s="72"/>
      <c r="E18" s="72"/>
      <c r="F18" s="72"/>
    </row>
    <row r="19" spans="1:6" x14ac:dyDescent="0.2">
      <c r="B19" s="4" t="s">
        <v>638</v>
      </c>
      <c r="C19" s="75" t="s">
        <v>1410</v>
      </c>
      <c r="D19" s="75" t="s">
        <v>1410</v>
      </c>
      <c r="E19" s="75" t="s">
        <v>1410</v>
      </c>
      <c r="F19" s="75" t="s">
        <v>1410</v>
      </c>
    </row>
    <row r="20" spans="1:6" x14ac:dyDescent="0.2">
      <c r="B20" s="4" t="s">
        <v>588</v>
      </c>
      <c r="C20" s="75" t="s">
        <v>1410</v>
      </c>
      <c r="D20" s="75" t="s">
        <v>1410</v>
      </c>
      <c r="E20" s="75" t="s">
        <v>1410</v>
      </c>
      <c r="F20" s="75" t="s">
        <v>1410</v>
      </c>
    </row>
    <row r="21" spans="1:6" x14ac:dyDescent="0.2">
      <c r="A21" t="s">
        <v>1410</v>
      </c>
      <c r="B21" s="4" t="s">
        <v>1321</v>
      </c>
      <c r="C21" s="75" t="s">
        <v>1410</v>
      </c>
      <c r="D21" s="75" t="s">
        <v>1410</v>
      </c>
      <c r="E21" s="75" t="s">
        <v>1410</v>
      </c>
      <c r="F21" s="75" t="s">
        <v>1410</v>
      </c>
    </row>
    <row r="22" spans="1:6" x14ac:dyDescent="0.2">
      <c r="A22" t="s">
        <v>1410</v>
      </c>
      <c r="C22" s="77" t="str">
        <f>+C4</f>
        <v>2018 ACTUAL</v>
      </c>
      <c r="D22" s="77" t="str">
        <f>+D4</f>
        <v>2019 ACTUAL</v>
      </c>
      <c r="E22" s="77" t="str">
        <f>+E4</f>
        <v>2020 BUDGET</v>
      </c>
      <c r="F22" s="77" t="str">
        <f>+F4</f>
        <v>2021 BUDGET</v>
      </c>
    </row>
    <row r="23" spans="1:6" x14ac:dyDescent="0.2">
      <c r="A23" t="s">
        <v>1410</v>
      </c>
      <c r="C23" s="75"/>
      <c r="D23" s="75"/>
      <c r="E23" s="75"/>
      <c r="F23" s="75"/>
    </row>
    <row r="24" spans="1:6" x14ac:dyDescent="0.2">
      <c r="A24" t="s">
        <v>1410</v>
      </c>
      <c r="B24" t="s">
        <v>1322</v>
      </c>
      <c r="C24" s="66">
        <v>99353.9</v>
      </c>
      <c r="D24" s="66">
        <f>C32</f>
        <v>107633.22</v>
      </c>
      <c r="E24" s="66">
        <f>D32</f>
        <v>117896.49</v>
      </c>
      <c r="F24" s="66">
        <f>E32</f>
        <v>119296.49</v>
      </c>
    </row>
    <row r="25" spans="1:6" x14ac:dyDescent="0.2">
      <c r="C25" s="62"/>
      <c r="D25" s="62"/>
      <c r="E25" s="62"/>
      <c r="F25" s="62"/>
    </row>
    <row r="26" spans="1:6" x14ac:dyDescent="0.2">
      <c r="B26" t="s">
        <v>106</v>
      </c>
      <c r="C26" s="67">
        <f>C9</f>
        <v>11744.66</v>
      </c>
      <c r="D26" s="67">
        <f>D9</f>
        <v>15416.64</v>
      </c>
      <c r="E26" s="67">
        <f>E9</f>
        <v>13000</v>
      </c>
      <c r="F26" s="67">
        <f>F9</f>
        <v>13000</v>
      </c>
    </row>
    <row r="27" spans="1:6" x14ac:dyDescent="0.2">
      <c r="C27" s="67"/>
      <c r="D27" s="67"/>
      <c r="E27" s="67"/>
      <c r="F27" s="67"/>
    </row>
    <row r="28" spans="1:6" x14ac:dyDescent="0.2">
      <c r="B28" t="s">
        <v>1404</v>
      </c>
      <c r="C28" s="67">
        <f>C16</f>
        <v>3465.34</v>
      </c>
      <c r="D28" s="67">
        <f>D16</f>
        <v>5153.37</v>
      </c>
      <c r="E28" s="67">
        <f>E16</f>
        <v>11600</v>
      </c>
      <c r="F28" s="67">
        <f>F16</f>
        <v>12000</v>
      </c>
    </row>
    <row r="29" spans="1:6" x14ac:dyDescent="0.2">
      <c r="C29" s="67"/>
      <c r="D29" s="67"/>
      <c r="E29" s="67"/>
      <c r="F29" s="67"/>
    </row>
    <row r="30" spans="1:6" x14ac:dyDescent="0.2">
      <c r="B30" t="s">
        <v>1325</v>
      </c>
      <c r="C30" s="63">
        <v>0</v>
      </c>
      <c r="D30" s="63">
        <v>0</v>
      </c>
      <c r="E30" s="63">
        <v>0</v>
      </c>
      <c r="F30" s="63">
        <v>0</v>
      </c>
    </row>
    <row r="31" spans="1:6" x14ac:dyDescent="0.2">
      <c r="C31" s="62"/>
      <c r="D31" s="62"/>
      <c r="E31" s="62"/>
      <c r="F31" s="62"/>
    </row>
    <row r="32" spans="1:6" ht="13.5" thickBot="1" x14ac:dyDescent="0.25">
      <c r="B32" t="s">
        <v>1326</v>
      </c>
      <c r="C32" s="71">
        <f>C24+C26-C28+C30</f>
        <v>107633.22</v>
      </c>
      <c r="D32" s="71">
        <f>D24+D26-D28+D30</f>
        <v>117896.49</v>
      </c>
      <c r="E32" s="71">
        <f>E24+E26-E28+E30</f>
        <v>119296.49</v>
      </c>
      <c r="F32" s="71">
        <f>F24+F26-F28+F30</f>
        <v>120296.48999999999</v>
      </c>
    </row>
    <row r="33" spans="3:4" ht="13.5" thickTop="1" x14ac:dyDescent="0.2"/>
    <row r="34" spans="3:4" x14ac:dyDescent="0.2">
      <c r="D34" s="207"/>
    </row>
    <row r="35" spans="3:4" x14ac:dyDescent="0.2">
      <c r="C35" s="10"/>
    </row>
    <row r="36" spans="3:4" x14ac:dyDescent="0.2">
      <c r="C36" s="10"/>
    </row>
    <row r="125" spans="3:6" x14ac:dyDescent="0.2">
      <c r="C125" s="9"/>
      <c r="D125" s="9"/>
      <c r="E125" s="9"/>
      <c r="F125" s="9"/>
    </row>
  </sheetData>
  <phoneticPr fontId="2" type="noConversion"/>
  <pageMargins left="0.5" right="0.5" top="1" bottom="1" header="0.5" footer="0.5"/>
  <pageSetup scale="85" firstPageNumber="29" orientation="portrait" useFirstPageNumber="1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135"/>
  <sheetViews>
    <sheetView zoomScaleNormal="100" workbookViewId="0"/>
  </sheetViews>
  <sheetFormatPr defaultRowHeight="12.75" x14ac:dyDescent="0.2"/>
  <cols>
    <col min="1" max="1" width="14.85546875" bestFit="1" customWidth="1"/>
    <col min="2" max="2" width="48.140625" customWidth="1"/>
    <col min="3" max="3" width="13.140625" customWidth="1"/>
    <col min="4" max="6" width="12.85546875" customWidth="1"/>
  </cols>
  <sheetData>
    <row r="1" spans="1:6" x14ac:dyDescent="0.2">
      <c r="A1" t="s">
        <v>1410</v>
      </c>
      <c r="B1" s="4" t="s">
        <v>638</v>
      </c>
    </row>
    <row r="2" spans="1:6" x14ac:dyDescent="0.2">
      <c r="B2" s="290" t="s">
        <v>1675</v>
      </c>
      <c r="C2" s="1" t="s">
        <v>1410</v>
      </c>
      <c r="D2" s="1" t="s">
        <v>1410</v>
      </c>
      <c r="E2" s="1" t="s">
        <v>1410</v>
      </c>
      <c r="F2" s="1" t="s">
        <v>1410</v>
      </c>
    </row>
    <row r="3" spans="1:6" x14ac:dyDescent="0.2">
      <c r="C3" s="1" t="s">
        <v>1410</v>
      </c>
      <c r="D3" s="1" t="s">
        <v>1410</v>
      </c>
      <c r="E3" s="1" t="s">
        <v>1410</v>
      </c>
      <c r="F3" s="1" t="s">
        <v>1410</v>
      </c>
    </row>
    <row r="4" spans="1:6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6" x14ac:dyDescent="0.2">
      <c r="B5" s="4" t="s">
        <v>299</v>
      </c>
      <c r="C5" s="62"/>
      <c r="D5" s="62"/>
      <c r="E5" s="62"/>
      <c r="F5" s="62"/>
    </row>
    <row r="6" spans="1:6" x14ac:dyDescent="0.2">
      <c r="A6" t="s">
        <v>1674</v>
      </c>
      <c r="B6" s="254" t="s">
        <v>2133</v>
      </c>
      <c r="C6" s="72">
        <v>93877.5</v>
      </c>
      <c r="D6" s="72">
        <v>95464.5</v>
      </c>
      <c r="E6" s="72">
        <v>96500</v>
      </c>
      <c r="F6" s="72">
        <v>96500</v>
      </c>
    </row>
    <row r="7" spans="1:6" x14ac:dyDescent="0.2">
      <c r="A7" s="105" t="s">
        <v>1793</v>
      </c>
      <c r="B7" s="254" t="s">
        <v>1746</v>
      </c>
      <c r="C7" s="67">
        <v>287.19</v>
      </c>
      <c r="D7" s="67">
        <v>208.22</v>
      </c>
      <c r="E7" s="67">
        <v>0</v>
      </c>
      <c r="F7" s="67">
        <v>0</v>
      </c>
    </row>
    <row r="8" spans="1:6" ht="13.5" thickBot="1" x14ac:dyDescent="0.25">
      <c r="B8" s="6" t="s">
        <v>129</v>
      </c>
      <c r="C8" s="78">
        <f t="shared" ref="C8:E8" si="0">SUM(C6:C7)</f>
        <v>94164.69</v>
      </c>
      <c r="D8" s="78">
        <f t="shared" si="0"/>
        <v>95672.72</v>
      </c>
      <c r="E8" s="78">
        <f t="shared" si="0"/>
        <v>96500</v>
      </c>
      <c r="F8" s="78">
        <f t="shared" ref="F8" si="1">SUM(F6:F7)</f>
        <v>96500</v>
      </c>
    </row>
    <row r="9" spans="1:6" ht="13.5" thickTop="1" x14ac:dyDescent="0.2">
      <c r="A9" t="s">
        <v>1410</v>
      </c>
      <c r="C9" s="62"/>
      <c r="D9" s="62"/>
      <c r="E9" s="62"/>
      <c r="F9" s="62"/>
    </row>
    <row r="10" spans="1:6" x14ac:dyDescent="0.2">
      <c r="A10" t="s">
        <v>1410</v>
      </c>
      <c r="C10" s="62"/>
      <c r="D10" s="62"/>
      <c r="E10" s="62"/>
      <c r="F10" s="62"/>
    </row>
    <row r="11" spans="1:6" x14ac:dyDescent="0.2">
      <c r="A11" s="133"/>
      <c r="B11" s="4" t="s">
        <v>844</v>
      </c>
      <c r="C11" s="62"/>
      <c r="D11" s="62"/>
      <c r="E11" s="62"/>
      <c r="F11" s="62"/>
    </row>
    <row r="12" spans="1:6" x14ac:dyDescent="0.2">
      <c r="A12" s="133" t="s">
        <v>1773</v>
      </c>
      <c r="B12" s="254" t="s">
        <v>2134</v>
      </c>
      <c r="C12" s="66">
        <v>479.12</v>
      </c>
      <c r="D12" s="66">
        <v>484.65</v>
      </c>
      <c r="E12" s="66">
        <v>498</v>
      </c>
      <c r="F12" s="66">
        <v>498</v>
      </c>
    </row>
    <row r="13" spans="1:6" x14ac:dyDescent="0.2">
      <c r="A13" s="105" t="s">
        <v>1774</v>
      </c>
      <c r="B13" s="254" t="s">
        <v>2135</v>
      </c>
      <c r="C13" s="67">
        <v>2752.36</v>
      </c>
      <c r="D13" s="67">
        <v>2784.18</v>
      </c>
      <c r="E13" s="67">
        <v>2858</v>
      </c>
      <c r="F13" s="67">
        <v>2858</v>
      </c>
    </row>
    <row r="14" spans="1:6" x14ac:dyDescent="0.2">
      <c r="A14" s="105" t="s">
        <v>1775</v>
      </c>
      <c r="B14" s="254" t="s">
        <v>2136</v>
      </c>
      <c r="C14" s="67">
        <v>4557.96</v>
      </c>
      <c r="D14" s="67">
        <v>4610.6499999999996</v>
      </c>
      <c r="E14" s="67">
        <v>4733</v>
      </c>
      <c r="F14" s="67">
        <v>4733</v>
      </c>
    </row>
    <row r="15" spans="1:6" x14ac:dyDescent="0.2">
      <c r="A15" s="105" t="s">
        <v>1776</v>
      </c>
      <c r="B15" s="254" t="s">
        <v>2137</v>
      </c>
      <c r="C15" s="67">
        <v>29974</v>
      </c>
      <c r="D15" s="67">
        <v>30320.44</v>
      </c>
      <c r="E15" s="67">
        <v>31128</v>
      </c>
      <c r="F15" s="67">
        <v>31128</v>
      </c>
    </row>
    <row r="16" spans="1:6" x14ac:dyDescent="0.2">
      <c r="A16" s="105" t="s">
        <v>1777</v>
      </c>
      <c r="B16" s="254" t="s">
        <v>2138</v>
      </c>
      <c r="C16" s="67">
        <v>2382.83</v>
      </c>
      <c r="D16" s="67">
        <v>2410.37</v>
      </c>
      <c r="E16" s="67">
        <v>2475</v>
      </c>
      <c r="F16" s="67">
        <v>2475</v>
      </c>
    </row>
    <row r="17" spans="1:6" x14ac:dyDescent="0.2">
      <c r="A17" s="105" t="s">
        <v>1778</v>
      </c>
      <c r="B17" s="254" t="s">
        <v>2139</v>
      </c>
      <c r="C17" s="67">
        <v>119.78</v>
      </c>
      <c r="D17" s="67">
        <v>121.16</v>
      </c>
      <c r="E17" s="67">
        <v>124</v>
      </c>
      <c r="F17" s="67">
        <v>124</v>
      </c>
    </row>
    <row r="18" spans="1:6" x14ac:dyDescent="0.2">
      <c r="A18" s="5" t="s">
        <v>1705</v>
      </c>
      <c r="B18" s="254" t="s">
        <v>2140</v>
      </c>
      <c r="C18" s="67">
        <v>5000</v>
      </c>
      <c r="D18" s="67">
        <v>5000</v>
      </c>
      <c r="E18" s="67">
        <v>5000</v>
      </c>
      <c r="F18" s="67">
        <v>5000</v>
      </c>
    </row>
    <row r="19" spans="1:6" x14ac:dyDescent="0.2">
      <c r="A19" s="5" t="s">
        <v>1706</v>
      </c>
      <c r="B19" s="254" t="s">
        <v>2141</v>
      </c>
      <c r="C19" s="67">
        <v>5000</v>
      </c>
      <c r="D19" s="67">
        <v>5000</v>
      </c>
      <c r="E19" s="67">
        <v>5000</v>
      </c>
      <c r="F19" s="67">
        <v>5000</v>
      </c>
    </row>
    <row r="20" spans="1:6" x14ac:dyDescent="0.2">
      <c r="A20" s="5" t="s">
        <v>1707</v>
      </c>
      <c r="B20" s="254" t="s">
        <v>1945</v>
      </c>
      <c r="C20" s="67">
        <v>2000</v>
      </c>
      <c r="D20" s="67">
        <v>2000</v>
      </c>
      <c r="E20" s="67">
        <v>2000</v>
      </c>
      <c r="F20" s="67">
        <v>2000</v>
      </c>
    </row>
    <row r="21" spans="1:6" x14ac:dyDescent="0.2">
      <c r="A21" s="5" t="s">
        <v>1708</v>
      </c>
      <c r="B21" s="254" t="s">
        <v>2142</v>
      </c>
      <c r="C21" s="67">
        <v>5500</v>
      </c>
      <c r="D21" s="67">
        <v>5500</v>
      </c>
      <c r="E21" s="67">
        <v>5500</v>
      </c>
      <c r="F21" s="67">
        <v>5500</v>
      </c>
    </row>
    <row r="22" spans="1:6" x14ac:dyDescent="0.2">
      <c r="A22" s="5" t="s">
        <v>1709</v>
      </c>
      <c r="B22" s="254" t="s">
        <v>2143</v>
      </c>
      <c r="C22" s="67">
        <v>1500</v>
      </c>
      <c r="D22" s="67">
        <v>1500</v>
      </c>
      <c r="E22" s="67">
        <v>1500</v>
      </c>
      <c r="F22" s="67">
        <v>1500</v>
      </c>
    </row>
    <row r="23" spans="1:6" x14ac:dyDescent="0.2">
      <c r="A23" s="5" t="s">
        <v>1710</v>
      </c>
      <c r="B23" s="254" t="s">
        <v>2144</v>
      </c>
      <c r="C23" s="67">
        <v>10000</v>
      </c>
      <c r="D23" s="67">
        <v>10000</v>
      </c>
      <c r="E23" s="67">
        <v>10000</v>
      </c>
      <c r="F23" s="67">
        <v>10000</v>
      </c>
    </row>
    <row r="24" spans="1:6" x14ac:dyDescent="0.2">
      <c r="A24" s="5" t="s">
        <v>1711</v>
      </c>
      <c r="B24" s="254" t="s">
        <v>1948</v>
      </c>
      <c r="C24" s="67">
        <v>0</v>
      </c>
      <c r="D24" s="67">
        <v>16000</v>
      </c>
      <c r="E24" s="67">
        <v>16000</v>
      </c>
      <c r="F24" s="67">
        <v>16000</v>
      </c>
    </row>
    <row r="25" spans="1:6" x14ac:dyDescent="0.2">
      <c r="A25" s="105" t="s">
        <v>1733</v>
      </c>
      <c r="B25" s="254" t="s">
        <v>2145</v>
      </c>
      <c r="C25" s="63">
        <v>7655.94</v>
      </c>
      <c r="D25" s="63">
        <v>8264.5400000000009</v>
      </c>
      <c r="E25" s="63">
        <v>9650</v>
      </c>
      <c r="F25" s="63">
        <v>9650</v>
      </c>
    </row>
    <row r="26" spans="1:6" ht="13.5" thickBot="1" x14ac:dyDescent="0.25">
      <c r="B26" s="6" t="s">
        <v>1319</v>
      </c>
      <c r="C26" s="71">
        <f>SUM(C12:C25)</f>
        <v>76921.990000000005</v>
      </c>
      <c r="D26" s="71">
        <f>SUM(D12:D25)</f>
        <v>93995.99000000002</v>
      </c>
      <c r="E26" s="71">
        <f>SUM(E12:E25)</f>
        <v>96466</v>
      </c>
      <c r="F26" s="71">
        <f>SUM(F12:F25)</f>
        <v>96466</v>
      </c>
    </row>
    <row r="27" spans="1:6" ht="13.5" thickTop="1" x14ac:dyDescent="0.2">
      <c r="B27" s="6"/>
      <c r="C27" s="72"/>
      <c r="D27" s="72"/>
      <c r="E27" s="72"/>
      <c r="F27" s="72"/>
    </row>
    <row r="28" spans="1:6" x14ac:dyDescent="0.2">
      <c r="B28" s="6"/>
      <c r="C28" s="72"/>
      <c r="D28" s="72"/>
      <c r="E28" s="72"/>
      <c r="F28" s="72"/>
    </row>
    <row r="29" spans="1:6" x14ac:dyDescent="0.2">
      <c r="B29" s="4" t="s">
        <v>638</v>
      </c>
      <c r="C29" s="75" t="s">
        <v>1410</v>
      </c>
      <c r="D29" s="75" t="s">
        <v>1410</v>
      </c>
      <c r="E29" s="75" t="s">
        <v>1410</v>
      </c>
      <c r="F29" s="75" t="s">
        <v>1410</v>
      </c>
    </row>
    <row r="30" spans="1:6" x14ac:dyDescent="0.2">
      <c r="B30" s="294" t="s">
        <v>1675</v>
      </c>
      <c r="C30" s="75" t="s">
        <v>1410</v>
      </c>
      <c r="D30" s="75" t="s">
        <v>1410</v>
      </c>
      <c r="E30" s="75" t="s">
        <v>1410</v>
      </c>
      <c r="F30" s="75" t="s">
        <v>1410</v>
      </c>
    </row>
    <row r="31" spans="1:6" x14ac:dyDescent="0.2">
      <c r="A31" t="s">
        <v>1410</v>
      </c>
      <c r="B31" s="4" t="s">
        <v>1321</v>
      </c>
      <c r="C31" s="75" t="s">
        <v>1410</v>
      </c>
      <c r="D31" s="75" t="s">
        <v>1410</v>
      </c>
      <c r="E31" s="75" t="s">
        <v>1410</v>
      </c>
      <c r="F31" s="75" t="s">
        <v>1410</v>
      </c>
    </row>
    <row r="32" spans="1:6" x14ac:dyDescent="0.2">
      <c r="A32" t="s">
        <v>1410</v>
      </c>
      <c r="C32" s="77" t="str">
        <f>+C4</f>
        <v>2018 ACTUAL</v>
      </c>
      <c r="D32" s="77" t="str">
        <f>+D4</f>
        <v>2019 ACTUAL</v>
      </c>
      <c r="E32" s="77" t="str">
        <f>+E4</f>
        <v>2020 BUDGET</v>
      </c>
      <c r="F32" s="77" t="str">
        <f>+F4</f>
        <v>2021 BUDGET</v>
      </c>
    </row>
    <row r="33" spans="1:6" x14ac:dyDescent="0.2">
      <c r="A33" t="s">
        <v>1410</v>
      </c>
      <c r="C33" s="75"/>
      <c r="D33" s="75"/>
      <c r="E33" s="75"/>
      <c r="F33" s="75"/>
    </row>
    <row r="34" spans="1:6" x14ac:dyDescent="0.2">
      <c r="A34" t="s">
        <v>1410</v>
      </c>
      <c r="B34" t="s">
        <v>1322</v>
      </c>
      <c r="C34" s="66">
        <v>79808.72</v>
      </c>
      <c r="D34" s="66">
        <f>C42</f>
        <v>97051.42</v>
      </c>
      <c r="E34" s="66">
        <f>D42</f>
        <v>98728.15</v>
      </c>
      <c r="F34" s="66">
        <f>E42</f>
        <v>98762.15</v>
      </c>
    </row>
    <row r="35" spans="1:6" x14ac:dyDescent="0.2">
      <c r="C35" s="62"/>
      <c r="D35" s="62"/>
      <c r="E35" s="62"/>
      <c r="F35" s="62"/>
    </row>
    <row r="36" spans="1:6" x14ac:dyDescent="0.2">
      <c r="B36" t="s">
        <v>106</v>
      </c>
      <c r="C36" s="67">
        <f>C8</f>
        <v>94164.69</v>
      </c>
      <c r="D36" s="67">
        <f>D8</f>
        <v>95672.72</v>
      </c>
      <c r="E36" s="67">
        <f>E8</f>
        <v>96500</v>
      </c>
      <c r="F36" s="67">
        <f>F8</f>
        <v>96500</v>
      </c>
    </row>
    <row r="37" spans="1:6" x14ac:dyDescent="0.2">
      <c r="C37" s="67"/>
      <c r="D37" s="67"/>
      <c r="E37" s="67"/>
      <c r="F37" s="67"/>
    </row>
    <row r="38" spans="1:6" x14ac:dyDescent="0.2">
      <c r="B38" t="s">
        <v>1404</v>
      </c>
      <c r="C38" s="67">
        <f>C26</f>
        <v>76921.990000000005</v>
      </c>
      <c r="D38" s="67">
        <f>D26</f>
        <v>93995.99000000002</v>
      </c>
      <c r="E38" s="67">
        <f>E26</f>
        <v>96466</v>
      </c>
      <c r="F38" s="67">
        <f>F26</f>
        <v>96466</v>
      </c>
    </row>
    <row r="39" spans="1:6" x14ac:dyDescent="0.2">
      <c r="C39" s="67"/>
      <c r="D39" s="67"/>
      <c r="E39" s="67"/>
      <c r="F39" s="67"/>
    </row>
    <row r="40" spans="1:6" x14ac:dyDescent="0.2">
      <c r="B40" t="s">
        <v>1325</v>
      </c>
      <c r="C40" s="63">
        <v>0</v>
      </c>
      <c r="D40" s="63">
        <v>0</v>
      </c>
      <c r="E40" s="63">
        <v>0</v>
      </c>
      <c r="F40" s="63">
        <v>0</v>
      </c>
    </row>
    <row r="41" spans="1:6" x14ac:dyDescent="0.2">
      <c r="C41" s="62"/>
      <c r="D41" s="62"/>
      <c r="E41" s="62"/>
      <c r="F41" s="62"/>
    </row>
    <row r="42" spans="1:6" ht="13.5" thickBot="1" x14ac:dyDescent="0.25">
      <c r="B42" t="s">
        <v>1326</v>
      </c>
      <c r="C42" s="71">
        <f>C34+C36-C38+C40</f>
        <v>97051.42</v>
      </c>
      <c r="D42" s="71">
        <f>D34+D36-D38+D40</f>
        <v>98728.15</v>
      </c>
      <c r="E42" s="71">
        <f>E34+E36-E38+E40</f>
        <v>98762.15</v>
      </c>
      <c r="F42" s="71">
        <f>F34+F36-F38+F40</f>
        <v>98796.15</v>
      </c>
    </row>
    <row r="43" spans="1:6" ht="13.5" thickTop="1" x14ac:dyDescent="0.2"/>
    <row r="44" spans="1:6" x14ac:dyDescent="0.2">
      <c r="D44" s="207"/>
    </row>
    <row r="45" spans="1:6" x14ac:dyDescent="0.2">
      <c r="C45" s="10"/>
      <c r="D45" s="10"/>
    </row>
    <row r="46" spans="1:6" x14ac:dyDescent="0.2">
      <c r="C46" s="10"/>
    </row>
    <row r="135" spans="3:6" x14ac:dyDescent="0.2">
      <c r="C135" s="9"/>
      <c r="D135" s="9"/>
      <c r="E135" s="9"/>
      <c r="F135" s="9"/>
    </row>
  </sheetData>
  <pageMargins left="0.5" right="0.5" top="1" bottom="1" header="0.5" footer="0.5"/>
  <pageSetup scale="85" firstPageNumber="30" orientation="portrait" useFirstPageNumber="1" r:id="rId1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123"/>
  <sheetViews>
    <sheetView zoomScaleNormal="100" workbookViewId="0"/>
  </sheetViews>
  <sheetFormatPr defaultRowHeight="12.75" x14ac:dyDescent="0.2"/>
  <cols>
    <col min="1" max="1" width="14.85546875" bestFit="1" customWidth="1"/>
    <col min="2" max="2" width="42.42578125" customWidth="1"/>
    <col min="3" max="3" width="13.140625" customWidth="1"/>
    <col min="4" max="6" width="12.85546875" customWidth="1"/>
  </cols>
  <sheetData>
    <row r="1" spans="1:9" x14ac:dyDescent="0.2">
      <c r="A1" t="s">
        <v>1410</v>
      </c>
      <c r="B1" s="4" t="s">
        <v>638</v>
      </c>
    </row>
    <row r="2" spans="1:9" x14ac:dyDescent="0.2">
      <c r="B2" s="294" t="s">
        <v>1699</v>
      </c>
      <c r="C2" s="1" t="s">
        <v>1410</v>
      </c>
      <c r="D2" s="1" t="s">
        <v>1410</v>
      </c>
      <c r="E2" s="1" t="s">
        <v>1410</v>
      </c>
      <c r="F2" s="1" t="s">
        <v>1410</v>
      </c>
    </row>
    <row r="3" spans="1:9" x14ac:dyDescent="0.2">
      <c r="C3" s="1" t="s">
        <v>1410</v>
      </c>
      <c r="D3" s="1" t="s">
        <v>1410</v>
      </c>
      <c r="E3" s="1" t="s">
        <v>1410</v>
      </c>
      <c r="F3" s="1" t="s">
        <v>1410</v>
      </c>
    </row>
    <row r="4" spans="1:9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9" x14ac:dyDescent="0.2">
      <c r="B5" s="4" t="s">
        <v>299</v>
      </c>
      <c r="C5" s="62"/>
      <c r="D5" s="62"/>
      <c r="E5" s="62"/>
      <c r="F5" s="62"/>
    </row>
    <row r="6" spans="1:9" x14ac:dyDescent="0.2">
      <c r="A6" t="s">
        <v>1700</v>
      </c>
      <c r="B6" s="254" t="s">
        <v>1831</v>
      </c>
      <c r="C6" s="94">
        <v>0</v>
      </c>
      <c r="D6" s="94">
        <v>0</v>
      </c>
      <c r="E6" s="94">
        <v>0</v>
      </c>
      <c r="F6" s="94">
        <v>0</v>
      </c>
    </row>
    <row r="7" spans="1:9" x14ac:dyDescent="0.2">
      <c r="A7" t="s">
        <v>1701</v>
      </c>
      <c r="B7" s="254" t="s">
        <v>1832</v>
      </c>
      <c r="C7" s="54">
        <f>+intro!J390</f>
        <v>1E-3</v>
      </c>
      <c r="D7" s="54">
        <v>111.06</v>
      </c>
      <c r="E7" s="54">
        <v>0</v>
      </c>
      <c r="F7" s="54">
        <v>0</v>
      </c>
      <c r="I7" s="105" t="s">
        <v>1529</v>
      </c>
    </row>
    <row r="8" spans="1:9" x14ac:dyDescent="0.2">
      <c r="A8" s="105" t="s">
        <v>1794</v>
      </c>
      <c r="B8" s="254" t="s">
        <v>1746</v>
      </c>
      <c r="C8" s="54">
        <v>183.52</v>
      </c>
      <c r="D8" s="54">
        <v>0</v>
      </c>
      <c r="E8" s="54">
        <v>500</v>
      </c>
      <c r="F8" s="54">
        <v>500</v>
      </c>
    </row>
    <row r="9" spans="1:9" ht="13.5" thickBot="1" x14ac:dyDescent="0.25">
      <c r="B9" s="6" t="s">
        <v>129</v>
      </c>
      <c r="C9" s="78">
        <f>SUM(C6:C8)</f>
        <v>183.52100000000002</v>
      </c>
      <c r="D9" s="78">
        <f t="shared" ref="D9:E9" si="0">SUM(D6:D8)</f>
        <v>111.06</v>
      </c>
      <c r="E9" s="78">
        <f t="shared" si="0"/>
        <v>500</v>
      </c>
      <c r="F9" s="78">
        <f t="shared" ref="F9" si="1">SUM(F6:F8)</f>
        <v>500</v>
      </c>
    </row>
    <row r="10" spans="1:9" ht="13.5" thickTop="1" x14ac:dyDescent="0.2">
      <c r="A10" t="s">
        <v>1410</v>
      </c>
      <c r="C10" s="62"/>
      <c r="D10" s="62"/>
      <c r="E10" s="62"/>
      <c r="F10" s="62"/>
    </row>
    <row r="11" spans="1:9" x14ac:dyDescent="0.2">
      <c r="A11" t="s">
        <v>1410</v>
      </c>
      <c r="C11" s="62"/>
      <c r="D11" s="62"/>
      <c r="E11" s="62"/>
      <c r="F11" s="62"/>
    </row>
    <row r="12" spans="1:9" x14ac:dyDescent="0.2">
      <c r="A12" s="133"/>
      <c r="B12" s="4" t="s">
        <v>844</v>
      </c>
      <c r="C12" s="62"/>
      <c r="D12" s="62"/>
      <c r="E12" s="62"/>
      <c r="F12" s="62"/>
    </row>
    <row r="13" spans="1:9" x14ac:dyDescent="0.2">
      <c r="A13" s="33" t="s">
        <v>1702</v>
      </c>
      <c r="B13" s="254" t="s">
        <v>2146</v>
      </c>
      <c r="C13" s="73">
        <v>0</v>
      </c>
      <c r="D13" s="73">
        <v>0</v>
      </c>
      <c r="E13" s="73">
        <v>0</v>
      </c>
      <c r="F13" s="73">
        <v>0</v>
      </c>
    </row>
    <row r="14" spans="1:9" ht="13.5" thickBot="1" x14ac:dyDescent="0.25">
      <c r="B14" s="6" t="s">
        <v>1319</v>
      </c>
      <c r="C14" s="71">
        <f>SUM(C13:C13)</f>
        <v>0</v>
      </c>
      <c r="D14" s="71">
        <f>SUM(D13:D13)</f>
        <v>0</v>
      </c>
      <c r="E14" s="71">
        <f>SUM(E13:E13)</f>
        <v>0</v>
      </c>
      <c r="F14" s="71">
        <f>SUM(F13:F13)</f>
        <v>0</v>
      </c>
    </row>
    <row r="15" spans="1:9" ht="13.5" thickTop="1" x14ac:dyDescent="0.2">
      <c r="B15" s="6"/>
      <c r="C15" s="72"/>
      <c r="D15" s="72"/>
      <c r="E15" s="72"/>
      <c r="F15" s="72"/>
    </row>
    <row r="16" spans="1:9" x14ac:dyDescent="0.2">
      <c r="B16" s="6"/>
      <c r="C16" s="72"/>
      <c r="D16" s="72"/>
      <c r="E16" s="72"/>
      <c r="F16" s="72"/>
    </row>
    <row r="17" spans="1:6" x14ac:dyDescent="0.2">
      <c r="B17" s="4" t="s">
        <v>638</v>
      </c>
      <c r="C17" s="75" t="s">
        <v>1410</v>
      </c>
      <c r="D17" s="75" t="s">
        <v>1410</v>
      </c>
      <c r="E17" s="75" t="s">
        <v>1410</v>
      </c>
      <c r="F17" s="75" t="s">
        <v>1410</v>
      </c>
    </row>
    <row r="18" spans="1:6" x14ac:dyDescent="0.2">
      <c r="B18" s="294" t="s">
        <v>1699</v>
      </c>
      <c r="C18" s="75" t="s">
        <v>1410</v>
      </c>
      <c r="D18" s="75" t="s">
        <v>1410</v>
      </c>
      <c r="E18" s="75" t="s">
        <v>1410</v>
      </c>
      <c r="F18" s="75" t="s">
        <v>1410</v>
      </c>
    </row>
    <row r="19" spans="1:6" x14ac:dyDescent="0.2">
      <c r="A19" t="s">
        <v>1410</v>
      </c>
      <c r="B19" s="4" t="s">
        <v>1321</v>
      </c>
      <c r="C19" s="75" t="s">
        <v>1410</v>
      </c>
      <c r="D19" s="75" t="s">
        <v>1410</v>
      </c>
      <c r="E19" s="75" t="s">
        <v>1410</v>
      </c>
      <c r="F19" s="75" t="s">
        <v>1410</v>
      </c>
    </row>
    <row r="20" spans="1:6" x14ac:dyDescent="0.2">
      <c r="A20" t="s">
        <v>1410</v>
      </c>
      <c r="C20" s="77" t="str">
        <f t="shared" ref="C20:D20" si="2">+C4</f>
        <v>2018 ACTUAL</v>
      </c>
      <c r="D20" s="77" t="str">
        <f t="shared" si="2"/>
        <v>2019 ACTUAL</v>
      </c>
      <c r="E20" s="77" t="str">
        <f t="shared" ref="E20:F20" si="3">+E4</f>
        <v>2020 BUDGET</v>
      </c>
      <c r="F20" s="77" t="str">
        <f t="shared" si="3"/>
        <v>2021 BUDGET</v>
      </c>
    </row>
    <row r="21" spans="1:6" x14ac:dyDescent="0.2">
      <c r="A21" t="s">
        <v>1410</v>
      </c>
      <c r="C21" s="75"/>
      <c r="D21" s="75"/>
      <c r="E21" s="75"/>
      <c r="F21" s="75"/>
    </row>
    <row r="22" spans="1:6" x14ac:dyDescent="0.2">
      <c r="A22" t="s">
        <v>1410</v>
      </c>
      <c r="B22" t="s">
        <v>1322</v>
      </c>
      <c r="C22" s="66">
        <v>49082.42</v>
      </c>
      <c r="D22" s="66">
        <f>C30</f>
        <v>49265.940999999999</v>
      </c>
      <c r="E22" s="66">
        <f>D30</f>
        <v>49377.000999999997</v>
      </c>
      <c r="F22" s="66">
        <f>E30</f>
        <v>49877.000999999997</v>
      </c>
    </row>
    <row r="23" spans="1:6" x14ac:dyDescent="0.2">
      <c r="C23" s="62"/>
      <c r="D23" s="62"/>
      <c r="E23" s="62"/>
      <c r="F23" s="62"/>
    </row>
    <row r="24" spans="1:6" x14ac:dyDescent="0.2">
      <c r="B24" t="s">
        <v>106</v>
      </c>
      <c r="C24" s="67">
        <f>C9</f>
        <v>183.52100000000002</v>
      </c>
      <c r="D24" s="67">
        <f>D9</f>
        <v>111.06</v>
      </c>
      <c r="E24" s="67">
        <f>E9</f>
        <v>500</v>
      </c>
      <c r="F24" s="67">
        <f>F9</f>
        <v>500</v>
      </c>
    </row>
    <row r="25" spans="1:6" x14ac:dyDescent="0.2">
      <c r="C25" s="67"/>
      <c r="D25" s="67"/>
      <c r="E25" s="67"/>
      <c r="F25" s="67"/>
    </row>
    <row r="26" spans="1:6" x14ac:dyDescent="0.2">
      <c r="B26" t="s">
        <v>1404</v>
      </c>
      <c r="C26" s="67">
        <f>C14</f>
        <v>0</v>
      </c>
      <c r="D26" s="67">
        <f>D14</f>
        <v>0</v>
      </c>
      <c r="E26" s="67">
        <f>E14</f>
        <v>0</v>
      </c>
      <c r="F26" s="67">
        <f>F14</f>
        <v>0</v>
      </c>
    </row>
    <row r="27" spans="1:6" x14ac:dyDescent="0.2">
      <c r="C27" s="67"/>
      <c r="D27" s="67"/>
      <c r="E27" s="67"/>
      <c r="F27" s="67"/>
    </row>
    <row r="28" spans="1:6" x14ac:dyDescent="0.2">
      <c r="B28" t="s">
        <v>1325</v>
      </c>
      <c r="C28" s="63">
        <v>0</v>
      </c>
      <c r="D28" s="63">
        <v>0</v>
      </c>
      <c r="E28" s="63">
        <v>0</v>
      </c>
      <c r="F28" s="63">
        <v>0</v>
      </c>
    </row>
    <row r="29" spans="1:6" x14ac:dyDescent="0.2">
      <c r="C29" s="62"/>
      <c r="D29" s="62"/>
      <c r="E29" s="62"/>
      <c r="F29" s="62"/>
    </row>
    <row r="30" spans="1:6" ht="13.5" thickBot="1" x14ac:dyDescent="0.25">
      <c r="B30" t="s">
        <v>1326</v>
      </c>
      <c r="C30" s="71">
        <f>C22+C24-C26+C28</f>
        <v>49265.940999999999</v>
      </c>
      <c r="D30" s="71">
        <f>D22+D24-D26+D28</f>
        <v>49377.000999999997</v>
      </c>
      <c r="E30" s="71">
        <f>E22+E24-E26+E28</f>
        <v>49877.000999999997</v>
      </c>
      <c r="F30" s="71">
        <f>F22+F24-F26+F28</f>
        <v>50377.000999999997</v>
      </c>
    </row>
    <row r="31" spans="1:6" ht="13.5" thickTop="1" x14ac:dyDescent="0.2"/>
    <row r="123" spans="3:6" x14ac:dyDescent="0.2">
      <c r="C123" s="9"/>
      <c r="D123" s="9"/>
      <c r="E123" s="9"/>
      <c r="F123" s="9"/>
    </row>
  </sheetData>
  <pageMargins left="0.5" right="0.5" top="1" bottom="1" header="0.5" footer="0.5"/>
  <pageSetup scale="85" firstPageNumber="31" orientation="portrait" useFirstPageNumber="1" r:id="rId1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106"/>
  <sheetViews>
    <sheetView zoomScaleNormal="100" workbookViewId="0"/>
  </sheetViews>
  <sheetFormatPr defaultRowHeight="12.75" x14ac:dyDescent="0.2"/>
  <cols>
    <col min="1" max="1" width="14.85546875" bestFit="1" customWidth="1"/>
    <col min="2" max="2" width="40.5703125" customWidth="1"/>
    <col min="3" max="3" width="13.140625" customWidth="1"/>
    <col min="4" max="6" width="13.28515625" style="62" bestFit="1" customWidth="1"/>
  </cols>
  <sheetData>
    <row r="1" spans="1:6" x14ac:dyDescent="0.2">
      <c r="A1" s="18" t="s">
        <v>1410</v>
      </c>
      <c r="B1" s="4" t="s">
        <v>638</v>
      </c>
      <c r="C1" s="1" t="s">
        <v>1410</v>
      </c>
      <c r="D1" s="75" t="s">
        <v>1410</v>
      </c>
      <c r="E1" s="75" t="s">
        <v>1410</v>
      </c>
      <c r="F1" s="75" t="s">
        <v>1410</v>
      </c>
    </row>
    <row r="2" spans="1:6" x14ac:dyDescent="0.2">
      <c r="A2" s="18"/>
      <c r="B2" s="4" t="s">
        <v>589</v>
      </c>
      <c r="C2" s="1" t="s">
        <v>1410</v>
      </c>
      <c r="D2" s="75" t="s">
        <v>1410</v>
      </c>
      <c r="E2" s="75" t="s">
        <v>1410</v>
      </c>
      <c r="F2" s="75" t="s">
        <v>1410</v>
      </c>
    </row>
    <row r="3" spans="1:6" x14ac:dyDescent="0.2">
      <c r="A3" s="18"/>
    </row>
    <row r="4" spans="1:6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6" x14ac:dyDescent="0.2">
      <c r="A5" s="18"/>
      <c r="B5" s="4" t="s">
        <v>299</v>
      </c>
    </row>
    <row r="6" spans="1:6" x14ac:dyDescent="0.2">
      <c r="A6" s="18" t="s">
        <v>1346</v>
      </c>
      <c r="B6" s="253" t="s">
        <v>2151</v>
      </c>
      <c r="C6" s="66">
        <v>26316.85</v>
      </c>
      <c r="D6" s="66">
        <v>23677.62</v>
      </c>
      <c r="E6" s="66">
        <v>26000</v>
      </c>
      <c r="F6" s="66">
        <v>15000</v>
      </c>
    </row>
    <row r="7" spans="1:6" x14ac:dyDescent="0.2">
      <c r="A7" s="18" t="s">
        <v>1347</v>
      </c>
      <c r="B7" s="253" t="s">
        <v>1746</v>
      </c>
      <c r="C7" s="63">
        <v>3600.41</v>
      </c>
      <c r="D7" s="63">
        <v>4526.43</v>
      </c>
      <c r="E7" s="63">
        <v>1000</v>
      </c>
      <c r="F7" s="63">
        <v>1000</v>
      </c>
    </row>
    <row r="8" spans="1:6" ht="13.5" thickBot="1" x14ac:dyDescent="0.25">
      <c r="A8" s="18"/>
      <c r="B8" s="6" t="s">
        <v>129</v>
      </c>
      <c r="C8" s="71">
        <f>SUM(C6:C7)</f>
        <v>29917.26</v>
      </c>
      <c r="D8" s="71">
        <f>SUM(D6:D7)</f>
        <v>28204.05</v>
      </c>
      <c r="E8" s="71">
        <f>SUM(E6:E7)</f>
        <v>27000</v>
      </c>
      <c r="F8" s="71">
        <f>SUM(F6:F7)</f>
        <v>16000</v>
      </c>
    </row>
    <row r="9" spans="1:6" ht="13.5" thickTop="1" x14ac:dyDescent="0.2">
      <c r="A9" s="18"/>
      <c r="C9" s="62"/>
    </row>
    <row r="10" spans="1:6" x14ac:dyDescent="0.2">
      <c r="A10" s="18" t="s">
        <v>1410</v>
      </c>
      <c r="C10" s="62"/>
    </row>
    <row r="11" spans="1:6" x14ac:dyDescent="0.2">
      <c r="A11" s="18"/>
      <c r="B11" s="4" t="s">
        <v>844</v>
      </c>
      <c r="C11" s="62"/>
    </row>
    <row r="12" spans="1:6" x14ac:dyDescent="0.2">
      <c r="A12" s="18" t="s">
        <v>169</v>
      </c>
      <c r="B12" s="254" t="s">
        <v>2152</v>
      </c>
      <c r="C12" s="66">
        <v>0</v>
      </c>
      <c r="D12" s="66">
        <v>1200</v>
      </c>
      <c r="E12" s="66">
        <v>0</v>
      </c>
      <c r="F12" s="66">
        <v>0</v>
      </c>
    </row>
    <row r="13" spans="1:6" x14ac:dyDescent="0.2">
      <c r="A13" s="18" t="s">
        <v>170</v>
      </c>
      <c r="B13" s="254" t="s">
        <v>1895</v>
      </c>
      <c r="C13" s="67">
        <v>0</v>
      </c>
      <c r="D13" s="67">
        <v>91.8</v>
      </c>
      <c r="E13" s="67">
        <v>0</v>
      </c>
      <c r="F13" s="67">
        <v>0</v>
      </c>
    </row>
    <row r="14" spans="1:6" x14ac:dyDescent="0.2">
      <c r="A14" s="18" t="s">
        <v>171</v>
      </c>
      <c r="B14" s="254" t="s">
        <v>1896</v>
      </c>
      <c r="C14" s="67">
        <v>0</v>
      </c>
      <c r="D14" s="67">
        <v>133.44</v>
      </c>
      <c r="E14" s="67">
        <v>0</v>
      </c>
      <c r="F14" s="67">
        <v>0</v>
      </c>
    </row>
    <row r="15" spans="1:6" x14ac:dyDescent="0.2">
      <c r="A15" s="18" t="s">
        <v>700</v>
      </c>
      <c r="B15" s="254" t="s">
        <v>1901</v>
      </c>
      <c r="C15" s="98">
        <v>1920</v>
      </c>
      <c r="D15" s="98">
        <v>1920</v>
      </c>
      <c r="E15" s="98">
        <v>1920</v>
      </c>
      <c r="F15" s="98">
        <f>1920+2000</f>
        <v>3920</v>
      </c>
    </row>
    <row r="16" spans="1:6" x14ac:dyDescent="0.2">
      <c r="A16" s="18" t="s">
        <v>1504</v>
      </c>
      <c r="B16" s="254" t="s">
        <v>1902</v>
      </c>
      <c r="C16" s="98">
        <v>5292.07</v>
      </c>
      <c r="D16" s="98">
        <v>9941.9699999999993</v>
      </c>
      <c r="E16" s="98">
        <v>9000</v>
      </c>
      <c r="F16" s="98">
        <v>8500</v>
      </c>
    </row>
    <row r="17" spans="1:6" x14ac:dyDescent="0.2">
      <c r="A17" s="129" t="s">
        <v>1713</v>
      </c>
      <c r="B17" s="254" t="s">
        <v>2153</v>
      </c>
      <c r="C17" s="98">
        <v>1058</v>
      </c>
      <c r="D17" s="98">
        <v>1143.49</v>
      </c>
      <c r="E17" s="98">
        <v>1500</v>
      </c>
      <c r="F17" s="98">
        <v>1200</v>
      </c>
    </row>
    <row r="18" spans="1:6" x14ac:dyDescent="0.2">
      <c r="A18" s="18" t="s">
        <v>591</v>
      </c>
      <c r="B18" s="253" t="s">
        <v>1904</v>
      </c>
      <c r="C18" s="99">
        <v>9547.52</v>
      </c>
      <c r="D18" s="99">
        <v>927.13</v>
      </c>
      <c r="E18" s="99">
        <v>10000</v>
      </c>
      <c r="F18" s="99">
        <v>2000</v>
      </c>
    </row>
    <row r="19" spans="1:6" x14ac:dyDescent="0.2">
      <c r="A19" s="18" t="s">
        <v>590</v>
      </c>
      <c r="B19" s="254" t="s">
        <v>1934</v>
      </c>
      <c r="C19" s="99">
        <v>0</v>
      </c>
      <c r="D19" s="99">
        <v>0</v>
      </c>
      <c r="E19" s="99">
        <v>4000</v>
      </c>
      <c r="F19" s="99">
        <v>10000</v>
      </c>
    </row>
    <row r="20" spans="1:6" x14ac:dyDescent="0.2">
      <c r="A20" s="129" t="s">
        <v>1654</v>
      </c>
      <c r="B20" s="254" t="s">
        <v>2154</v>
      </c>
      <c r="C20" s="134">
        <v>0</v>
      </c>
      <c r="D20" s="134">
        <v>0</v>
      </c>
      <c r="E20" s="134">
        <v>0</v>
      </c>
      <c r="F20" s="134">
        <v>0</v>
      </c>
    </row>
    <row r="21" spans="1:6" ht="13.5" thickBot="1" x14ac:dyDescent="0.25">
      <c r="A21" s="18"/>
      <c r="B21" s="6" t="s">
        <v>1319</v>
      </c>
      <c r="C21" s="135">
        <f>SUM(C12:C20)</f>
        <v>17817.59</v>
      </c>
      <c r="D21" s="135">
        <f>SUM(D12:D20)</f>
        <v>15357.829999999998</v>
      </c>
      <c r="E21" s="135">
        <f>SUM(E12:E20)</f>
        <v>26420</v>
      </c>
      <c r="F21" s="135">
        <f>SUM(F12:F20)</f>
        <v>25620</v>
      </c>
    </row>
    <row r="22" spans="1:6" ht="13.5" thickTop="1" x14ac:dyDescent="0.2">
      <c r="A22" s="18"/>
    </row>
    <row r="23" spans="1:6" x14ac:dyDescent="0.2">
      <c r="A23" s="18"/>
      <c r="B23" s="4" t="s">
        <v>638</v>
      </c>
    </row>
    <row r="24" spans="1:6" x14ac:dyDescent="0.2">
      <c r="A24" s="18"/>
      <c r="B24" s="4" t="s">
        <v>589</v>
      </c>
    </row>
    <row r="25" spans="1:6" x14ac:dyDescent="0.2">
      <c r="A25" s="18"/>
      <c r="B25" s="4" t="s">
        <v>1321</v>
      </c>
    </row>
    <row r="26" spans="1:6" x14ac:dyDescent="0.2">
      <c r="A26" s="18"/>
      <c r="C26" s="7" t="str">
        <f t="shared" ref="C26:D26" si="0">+C4</f>
        <v>2018 ACTUAL</v>
      </c>
      <c r="D26" s="7" t="str">
        <f t="shared" si="0"/>
        <v>2019 ACTUAL</v>
      </c>
      <c r="E26" s="7" t="str">
        <f t="shared" ref="E26:F26" si="1">+E4</f>
        <v>2020 BUDGET</v>
      </c>
      <c r="F26" s="7" t="str">
        <f t="shared" si="1"/>
        <v>2021 BUDGET</v>
      </c>
    </row>
    <row r="27" spans="1:6" x14ac:dyDescent="0.2">
      <c r="A27" s="18"/>
      <c r="C27" s="1"/>
      <c r="D27" s="75"/>
      <c r="E27" s="75"/>
      <c r="F27" s="75"/>
    </row>
    <row r="28" spans="1:6" x14ac:dyDescent="0.2">
      <c r="A28" s="18"/>
      <c r="B28" t="s">
        <v>1322</v>
      </c>
      <c r="C28" s="72">
        <v>203678.84</v>
      </c>
      <c r="D28" s="72">
        <f>C36</f>
        <v>215778.51</v>
      </c>
      <c r="E28" s="72">
        <f>D36</f>
        <v>228624.73</v>
      </c>
      <c r="F28" s="72">
        <f>E36</f>
        <v>229204.73</v>
      </c>
    </row>
    <row r="29" spans="1:6" x14ac:dyDescent="0.2">
      <c r="A29" s="18" t="s">
        <v>1410</v>
      </c>
      <c r="C29" s="62"/>
    </row>
    <row r="30" spans="1:6" x14ac:dyDescent="0.2">
      <c r="A30" s="18"/>
      <c r="B30" t="s">
        <v>106</v>
      </c>
      <c r="C30" s="67">
        <f>C8</f>
        <v>29917.26</v>
      </c>
      <c r="D30" s="67">
        <f>D8</f>
        <v>28204.05</v>
      </c>
      <c r="E30" s="67">
        <f>E8</f>
        <v>27000</v>
      </c>
      <c r="F30" s="67">
        <f>F8</f>
        <v>16000</v>
      </c>
    </row>
    <row r="31" spans="1:6" x14ac:dyDescent="0.2">
      <c r="A31" s="18" t="s">
        <v>1410</v>
      </c>
      <c r="C31" s="67"/>
      <c r="D31" s="67"/>
      <c r="E31" s="67"/>
      <c r="F31" s="67"/>
    </row>
    <row r="32" spans="1:6" x14ac:dyDescent="0.2">
      <c r="A32" s="18"/>
      <c r="B32" t="s">
        <v>1404</v>
      </c>
      <c r="C32" s="67">
        <f>C21</f>
        <v>17817.59</v>
      </c>
      <c r="D32" s="67">
        <f>D21</f>
        <v>15357.829999999998</v>
      </c>
      <c r="E32" s="67">
        <f>E21</f>
        <v>26420</v>
      </c>
      <c r="F32" s="67">
        <f>F21</f>
        <v>25620</v>
      </c>
    </row>
    <row r="33" spans="1:6" x14ac:dyDescent="0.2">
      <c r="A33" s="18"/>
      <c r="C33" s="67"/>
      <c r="D33" s="67"/>
      <c r="E33" s="67"/>
      <c r="F33" s="67"/>
    </row>
    <row r="34" spans="1:6" x14ac:dyDescent="0.2">
      <c r="A34" s="18"/>
      <c r="B34" t="s">
        <v>1325</v>
      </c>
      <c r="C34" s="63">
        <v>0</v>
      </c>
      <c r="D34" s="63">
        <v>0</v>
      </c>
      <c r="E34" s="63">
        <v>0</v>
      </c>
      <c r="F34" s="63">
        <v>0</v>
      </c>
    </row>
    <row r="35" spans="1:6" x14ac:dyDescent="0.2">
      <c r="A35" s="18"/>
      <c r="C35" s="62"/>
    </row>
    <row r="36" spans="1:6" ht="13.5" thickBot="1" x14ac:dyDescent="0.25">
      <c r="A36" s="18"/>
      <c r="B36" t="s">
        <v>1326</v>
      </c>
      <c r="C36" s="71">
        <f>C28+C30-C32+C34</f>
        <v>215778.51</v>
      </c>
      <c r="D36" s="71">
        <f>D28+D30-D32+D34</f>
        <v>228624.73</v>
      </c>
      <c r="E36" s="71">
        <f>E28+E30-E32+E34</f>
        <v>229204.73</v>
      </c>
      <c r="F36" s="71">
        <f>F28+F30-F32+F34</f>
        <v>219584.73</v>
      </c>
    </row>
    <row r="37" spans="1:6" ht="13.5" thickTop="1" x14ac:dyDescent="0.2"/>
    <row r="38" spans="1:6" x14ac:dyDescent="0.2">
      <c r="C38" s="10"/>
      <c r="D38" s="67"/>
    </row>
    <row r="41" spans="1:6" x14ac:dyDescent="0.2">
      <c r="B41" s="4" t="s">
        <v>638</v>
      </c>
    </row>
    <row r="42" spans="1:6" x14ac:dyDescent="0.2">
      <c r="B42" s="4" t="s">
        <v>1656</v>
      </c>
    </row>
    <row r="44" spans="1:6" x14ac:dyDescent="0.2">
      <c r="C44" s="7" t="str">
        <f>+C$4</f>
        <v>2018 ACTUAL</v>
      </c>
      <c r="D44" s="7" t="str">
        <f>+D$4</f>
        <v>2019 ACTUAL</v>
      </c>
      <c r="E44" s="7" t="str">
        <f>+E$4</f>
        <v>2020 BUDGET</v>
      </c>
      <c r="F44" s="7" t="str">
        <f>+F$4</f>
        <v>2021 BUDGET</v>
      </c>
    </row>
    <row r="45" spans="1:6" x14ac:dyDescent="0.2">
      <c r="B45" s="4" t="s">
        <v>299</v>
      </c>
    </row>
    <row r="46" spans="1:6" x14ac:dyDescent="0.2">
      <c r="A46" t="s">
        <v>360</v>
      </c>
      <c r="B46" s="253" t="s">
        <v>2149</v>
      </c>
      <c r="C46" s="66">
        <v>1812.83</v>
      </c>
      <c r="D46" s="66">
        <v>150.04</v>
      </c>
      <c r="E46" s="66">
        <v>2000</v>
      </c>
      <c r="F46" s="66">
        <v>200</v>
      </c>
    </row>
    <row r="47" spans="1:6" x14ac:dyDescent="0.2">
      <c r="A47" t="s">
        <v>361</v>
      </c>
      <c r="B47" s="253" t="s">
        <v>2150</v>
      </c>
      <c r="C47" s="67">
        <v>4974.38</v>
      </c>
      <c r="D47" s="67">
        <v>5938.71</v>
      </c>
      <c r="E47" s="67">
        <v>4000</v>
      </c>
      <c r="F47" s="67">
        <v>5000</v>
      </c>
    </row>
    <row r="48" spans="1:6" x14ac:dyDescent="0.2">
      <c r="A48" t="s">
        <v>362</v>
      </c>
      <c r="B48" s="253" t="s">
        <v>1746</v>
      </c>
      <c r="C48" s="63">
        <v>135.66999999999999</v>
      </c>
      <c r="D48" s="63">
        <v>99.84</v>
      </c>
      <c r="E48" s="63">
        <v>150</v>
      </c>
      <c r="F48" s="63">
        <v>100</v>
      </c>
    </row>
    <row r="49" spans="1:6" ht="13.5" thickBot="1" x14ac:dyDescent="0.25">
      <c r="B49" s="6" t="s">
        <v>129</v>
      </c>
      <c r="C49" s="71">
        <f>SUM(C46:C48)</f>
        <v>6922.88</v>
      </c>
      <c r="D49" s="71">
        <f>SUM(D46:D48)</f>
        <v>6188.59</v>
      </c>
      <c r="E49" s="71">
        <f>SUM(E46:E48)</f>
        <v>6150</v>
      </c>
      <c r="F49" s="71">
        <f>SUM(F46:F48)</f>
        <v>5300</v>
      </c>
    </row>
    <row r="50" spans="1:6" ht="13.5" thickTop="1" x14ac:dyDescent="0.2">
      <c r="C50" s="62"/>
    </row>
    <row r="51" spans="1:6" x14ac:dyDescent="0.2">
      <c r="C51" s="62"/>
    </row>
    <row r="52" spans="1:6" x14ac:dyDescent="0.2">
      <c r="B52" s="4" t="s">
        <v>844</v>
      </c>
      <c r="C52" s="62"/>
    </row>
    <row r="53" spans="1:6" x14ac:dyDescent="0.2">
      <c r="A53" s="62" t="s">
        <v>363</v>
      </c>
      <c r="B53" s="265" t="s">
        <v>1882</v>
      </c>
      <c r="C53" s="130">
        <v>0</v>
      </c>
      <c r="D53" s="130">
        <v>0</v>
      </c>
      <c r="E53" s="130">
        <v>4500</v>
      </c>
      <c r="F53" s="130">
        <v>4500</v>
      </c>
    </row>
    <row r="54" spans="1:6" ht="13.5" thickBot="1" x14ac:dyDescent="0.25">
      <c r="B54" s="6" t="s">
        <v>1319</v>
      </c>
      <c r="C54" s="71">
        <f>SUM(C53)</f>
        <v>0</v>
      </c>
      <c r="D54" s="71">
        <f>SUM(D53)</f>
        <v>0</v>
      </c>
      <c r="E54" s="71">
        <f>SUM(E53)</f>
        <v>4500</v>
      </c>
      <c r="F54" s="71">
        <f>SUM(F53)</f>
        <v>4500</v>
      </c>
    </row>
    <row r="55" spans="1:6" ht="13.5" thickTop="1" x14ac:dyDescent="0.2"/>
    <row r="56" spans="1:6" x14ac:dyDescent="0.2">
      <c r="B56" s="4" t="s">
        <v>638</v>
      </c>
    </row>
    <row r="57" spans="1:6" x14ac:dyDescent="0.2">
      <c r="B57" s="4" t="s">
        <v>1656</v>
      </c>
    </row>
    <row r="58" spans="1:6" x14ac:dyDescent="0.2">
      <c r="B58" s="4" t="s">
        <v>1321</v>
      </c>
    </row>
    <row r="59" spans="1:6" x14ac:dyDescent="0.2">
      <c r="C59" s="7" t="str">
        <f>+C$4</f>
        <v>2018 ACTUAL</v>
      </c>
      <c r="D59" s="7" t="str">
        <f>+D$4</f>
        <v>2019 ACTUAL</v>
      </c>
      <c r="E59" s="7" t="str">
        <f>+E$4</f>
        <v>2020 BUDGET</v>
      </c>
      <c r="F59" s="7" t="str">
        <f>+F$4</f>
        <v>2021 BUDGET</v>
      </c>
    </row>
    <row r="60" spans="1:6" x14ac:dyDescent="0.2">
      <c r="C60" s="55"/>
      <c r="D60" s="97"/>
      <c r="E60" s="97"/>
      <c r="F60" s="97"/>
    </row>
    <row r="61" spans="1:6" x14ac:dyDescent="0.2">
      <c r="B61" t="s">
        <v>1322</v>
      </c>
      <c r="C61" s="66">
        <v>34498.639999999999</v>
      </c>
      <c r="D61" s="66">
        <f>C69</f>
        <v>41421.519999999997</v>
      </c>
      <c r="E61" s="66">
        <f>D69</f>
        <v>47610.11</v>
      </c>
      <c r="F61" s="66">
        <f>E69</f>
        <v>49260.11</v>
      </c>
    </row>
    <row r="62" spans="1:6" x14ac:dyDescent="0.2">
      <c r="C62" s="62"/>
    </row>
    <row r="63" spans="1:6" x14ac:dyDescent="0.2">
      <c r="B63" t="s">
        <v>106</v>
      </c>
      <c r="C63" s="81">
        <f>C49</f>
        <v>6922.88</v>
      </c>
      <c r="D63" s="81">
        <f>D49</f>
        <v>6188.59</v>
      </c>
      <c r="E63" s="81">
        <f>E49</f>
        <v>6150</v>
      </c>
      <c r="F63" s="81">
        <f>F49</f>
        <v>5300</v>
      </c>
    </row>
    <row r="64" spans="1:6" x14ac:dyDescent="0.2">
      <c r="C64" s="81"/>
      <c r="D64" s="81"/>
      <c r="E64" s="81"/>
      <c r="F64" s="81"/>
    </row>
    <row r="65" spans="2:6" x14ac:dyDescent="0.2">
      <c r="B65" t="s">
        <v>1404</v>
      </c>
      <c r="C65" s="81">
        <f>C54</f>
        <v>0</v>
      </c>
      <c r="D65" s="81">
        <f>D54</f>
        <v>0</v>
      </c>
      <c r="E65" s="81">
        <f>E54</f>
        <v>4500</v>
      </c>
      <c r="F65" s="81">
        <f>F54</f>
        <v>4500</v>
      </c>
    </row>
    <row r="66" spans="2:6" x14ac:dyDescent="0.2">
      <c r="C66" s="81"/>
      <c r="D66" s="81"/>
      <c r="E66" s="81"/>
      <c r="F66" s="81"/>
    </row>
    <row r="67" spans="2:6" x14ac:dyDescent="0.2">
      <c r="B67" t="s">
        <v>1325</v>
      </c>
      <c r="C67" s="63">
        <v>0</v>
      </c>
      <c r="D67" s="63">
        <v>0</v>
      </c>
      <c r="E67" s="63">
        <v>0</v>
      </c>
      <c r="F67" s="63">
        <v>0</v>
      </c>
    </row>
    <row r="68" spans="2:6" x14ac:dyDescent="0.2">
      <c r="C68" s="62"/>
    </row>
    <row r="69" spans="2:6" ht="13.5" thickBot="1" x14ac:dyDescent="0.25">
      <c r="B69" t="s">
        <v>1326</v>
      </c>
      <c r="C69" s="71">
        <f>C61+C63-C65+C67</f>
        <v>41421.519999999997</v>
      </c>
      <c r="D69" s="71">
        <f>D61+D63-D65+D67</f>
        <v>47610.11</v>
      </c>
      <c r="E69" s="71">
        <f>E61+E63-E65+E67</f>
        <v>49260.11</v>
      </c>
      <c r="F69" s="71">
        <f>F61+F63-F65+F67</f>
        <v>50060.11</v>
      </c>
    </row>
    <row r="70" spans="2:6" ht="13.5" thickTop="1" x14ac:dyDescent="0.2"/>
    <row r="76" spans="2:6" x14ac:dyDescent="0.2">
      <c r="B76" s="4" t="s">
        <v>638</v>
      </c>
    </row>
    <row r="77" spans="2:6" x14ac:dyDescent="0.2">
      <c r="B77" s="4" t="s">
        <v>1657</v>
      </c>
    </row>
    <row r="79" spans="2:6" x14ac:dyDescent="0.2">
      <c r="C79" s="7" t="str">
        <f>+C$4</f>
        <v>2018 ACTUAL</v>
      </c>
      <c r="D79" s="7" t="str">
        <f>+D$4</f>
        <v>2019 ACTUAL</v>
      </c>
      <c r="E79" s="7" t="str">
        <f>+E$4</f>
        <v>2020 BUDGET</v>
      </c>
      <c r="F79" s="7" t="str">
        <f>+F$4</f>
        <v>2021 BUDGET</v>
      </c>
    </row>
    <row r="80" spans="2:6" x14ac:dyDescent="0.2">
      <c r="B80" s="4" t="s">
        <v>299</v>
      </c>
    </row>
    <row r="81" spans="1:6" x14ac:dyDescent="0.2">
      <c r="A81" t="s">
        <v>364</v>
      </c>
      <c r="B81" s="253" t="s">
        <v>2147</v>
      </c>
      <c r="C81" s="66">
        <v>278.95999999999998</v>
      </c>
      <c r="D81" s="66">
        <v>308.19</v>
      </c>
      <c r="E81" s="66">
        <v>1000</v>
      </c>
      <c r="F81" s="66">
        <v>700</v>
      </c>
    </row>
    <row r="82" spans="1:6" x14ac:dyDescent="0.2">
      <c r="A82" t="s">
        <v>1658</v>
      </c>
      <c r="B82" s="253" t="s">
        <v>2148</v>
      </c>
      <c r="C82" s="67">
        <v>1507.18</v>
      </c>
      <c r="D82" s="81">
        <v>1424.57</v>
      </c>
      <c r="E82" s="81">
        <v>500</v>
      </c>
      <c r="F82" s="81">
        <v>500</v>
      </c>
    </row>
    <row r="83" spans="1:6" x14ac:dyDescent="0.2">
      <c r="A83" t="s">
        <v>365</v>
      </c>
      <c r="B83" s="253" t="s">
        <v>1746</v>
      </c>
      <c r="C83" s="63">
        <v>15.1</v>
      </c>
      <c r="D83" s="63">
        <v>8.4499999999999993</v>
      </c>
      <c r="E83" s="63">
        <v>30</v>
      </c>
      <c r="F83" s="63">
        <v>30</v>
      </c>
    </row>
    <row r="84" spans="1:6" ht="13.5" thickBot="1" x14ac:dyDescent="0.25">
      <c r="B84" s="6" t="s">
        <v>129</v>
      </c>
      <c r="C84" s="71">
        <f>SUM(C81:C83)</f>
        <v>1801.24</v>
      </c>
      <c r="D84" s="71">
        <f>SUM(D81:D83)</f>
        <v>1741.21</v>
      </c>
      <c r="E84" s="71">
        <f>SUM(E81:E83)</f>
        <v>1530</v>
      </c>
      <c r="F84" s="71">
        <f>SUM(F81:F83)</f>
        <v>1230</v>
      </c>
    </row>
    <row r="85" spans="1:6" ht="13.5" thickTop="1" x14ac:dyDescent="0.2">
      <c r="C85" s="62"/>
    </row>
    <row r="86" spans="1:6" x14ac:dyDescent="0.2">
      <c r="C86" s="62"/>
    </row>
    <row r="87" spans="1:6" x14ac:dyDescent="0.2">
      <c r="B87" s="4" t="s">
        <v>844</v>
      </c>
      <c r="C87" s="62"/>
    </row>
    <row r="88" spans="1:6" x14ac:dyDescent="0.2">
      <c r="A88" s="62" t="s">
        <v>366</v>
      </c>
      <c r="B88" s="265" t="s">
        <v>1882</v>
      </c>
      <c r="C88" s="130">
        <v>2035.81</v>
      </c>
      <c r="D88" s="130">
        <v>0</v>
      </c>
      <c r="E88" s="130">
        <v>1200</v>
      </c>
      <c r="F88" s="130">
        <v>1200</v>
      </c>
    </row>
    <row r="89" spans="1:6" ht="13.5" thickBot="1" x14ac:dyDescent="0.25">
      <c r="B89" s="6" t="s">
        <v>1319</v>
      </c>
      <c r="C89" s="136">
        <f>SUM(C88)</f>
        <v>2035.81</v>
      </c>
      <c r="D89" s="136">
        <f>SUM(D88)</f>
        <v>0</v>
      </c>
      <c r="E89" s="136">
        <f>SUM(E88)</f>
        <v>1200</v>
      </c>
      <c r="F89" s="136">
        <f>SUM(F88)</f>
        <v>1200</v>
      </c>
    </row>
    <row r="90" spans="1:6" ht="13.5" thickTop="1" x14ac:dyDescent="0.2">
      <c r="C90" s="62"/>
    </row>
    <row r="91" spans="1:6" x14ac:dyDescent="0.2">
      <c r="B91" s="4" t="s">
        <v>638</v>
      </c>
      <c r="C91" s="62"/>
    </row>
    <row r="92" spans="1:6" x14ac:dyDescent="0.2">
      <c r="B92" s="4" t="s">
        <v>1657</v>
      </c>
      <c r="C92" s="62"/>
    </row>
    <row r="93" spans="1:6" x14ac:dyDescent="0.2">
      <c r="B93" s="4" t="s">
        <v>1321</v>
      </c>
      <c r="C93" s="62"/>
    </row>
    <row r="94" spans="1:6" x14ac:dyDescent="0.2">
      <c r="C94" s="7" t="str">
        <f>+C$4</f>
        <v>2018 ACTUAL</v>
      </c>
      <c r="D94" s="7" t="str">
        <f>+D$4</f>
        <v>2019 ACTUAL</v>
      </c>
      <c r="E94" s="7" t="str">
        <f>+E$4</f>
        <v>2020 BUDGET</v>
      </c>
      <c r="F94" s="7" t="str">
        <f>+F$4</f>
        <v>2021 BUDGET</v>
      </c>
    </row>
    <row r="95" spans="1:6" x14ac:dyDescent="0.2">
      <c r="C95" s="97"/>
      <c r="D95" s="97"/>
      <c r="E95" s="97"/>
      <c r="F95" s="97"/>
    </row>
    <row r="96" spans="1:6" x14ac:dyDescent="0.2">
      <c r="B96" t="s">
        <v>1322</v>
      </c>
      <c r="C96" s="66">
        <v>3183.69</v>
      </c>
      <c r="D96" s="66">
        <f>C104</f>
        <v>2949.1200000000003</v>
      </c>
      <c r="E96" s="66">
        <f>D104</f>
        <v>4690.33</v>
      </c>
      <c r="F96" s="66">
        <f>E104</f>
        <v>5020.33</v>
      </c>
    </row>
    <row r="97" spans="2:6" x14ac:dyDescent="0.2">
      <c r="C97" s="62"/>
    </row>
    <row r="98" spans="2:6" x14ac:dyDescent="0.2">
      <c r="B98" t="s">
        <v>106</v>
      </c>
      <c r="C98" s="67">
        <f>C84</f>
        <v>1801.24</v>
      </c>
      <c r="D98" s="67">
        <f>D84</f>
        <v>1741.21</v>
      </c>
      <c r="E98" s="67">
        <f>E84</f>
        <v>1530</v>
      </c>
      <c r="F98" s="67">
        <f>F84</f>
        <v>1230</v>
      </c>
    </row>
    <row r="99" spans="2:6" x14ac:dyDescent="0.2">
      <c r="C99" s="67"/>
      <c r="D99" s="67"/>
      <c r="E99" s="67"/>
      <c r="F99" s="67"/>
    </row>
    <row r="100" spans="2:6" x14ac:dyDescent="0.2">
      <c r="B100" t="s">
        <v>1404</v>
      </c>
      <c r="C100" s="81">
        <f>C89</f>
        <v>2035.81</v>
      </c>
      <c r="D100" s="81">
        <f>D89</f>
        <v>0</v>
      </c>
      <c r="E100" s="81">
        <f>E89</f>
        <v>1200</v>
      </c>
      <c r="F100" s="81">
        <f>F89</f>
        <v>1200</v>
      </c>
    </row>
    <row r="101" spans="2:6" x14ac:dyDescent="0.2">
      <c r="C101" s="67"/>
      <c r="D101" s="67"/>
      <c r="E101" s="67"/>
      <c r="F101" s="67"/>
    </row>
    <row r="102" spans="2:6" x14ac:dyDescent="0.2">
      <c r="B102" t="s">
        <v>1325</v>
      </c>
      <c r="C102" s="63">
        <v>0</v>
      </c>
      <c r="D102" s="63">
        <v>0</v>
      </c>
      <c r="E102" s="63">
        <v>0</v>
      </c>
      <c r="F102" s="63">
        <v>0</v>
      </c>
    </row>
    <row r="103" spans="2:6" x14ac:dyDescent="0.2">
      <c r="C103" s="62"/>
    </row>
    <row r="104" spans="2:6" ht="13.5" thickBot="1" x14ac:dyDescent="0.25">
      <c r="B104" t="s">
        <v>1326</v>
      </c>
      <c r="C104" s="71">
        <f>C96+C98-C100+C102</f>
        <v>2949.1200000000003</v>
      </c>
      <c r="D104" s="71">
        <f>D96+D98-D100+D102</f>
        <v>4690.33</v>
      </c>
      <c r="E104" s="71">
        <f>E96+E98-E100+E102</f>
        <v>5020.33</v>
      </c>
      <c r="F104" s="71">
        <f>F96+F98-F100+F102</f>
        <v>5050.33</v>
      </c>
    </row>
    <row r="105" spans="2:6" ht="13.5" thickTop="1" x14ac:dyDescent="0.2"/>
    <row r="106" spans="2:6" x14ac:dyDescent="0.2">
      <c r="C106" s="240"/>
    </row>
  </sheetData>
  <phoneticPr fontId="2" type="noConversion"/>
  <pageMargins left="0.5" right="0.5" top="1" bottom="1" header="0.5" footer="0.5"/>
  <pageSetup scale="85" firstPageNumber="32" orientation="portrait" useFirstPageNumber="1" r:id="rId1"/>
  <headerFooter alignWithMargins="0">
    <oddFooter>&amp;C&amp;P</oddFooter>
  </headerFooter>
  <rowBreaks count="2" manualBreakCount="2">
    <brk id="39" max="6" man="1"/>
    <brk id="7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36"/>
  <sheetViews>
    <sheetView zoomScaleNormal="100" workbookViewId="0"/>
  </sheetViews>
  <sheetFormatPr defaultRowHeight="12.75" x14ac:dyDescent="0.2"/>
  <cols>
    <col min="1" max="1" width="14.85546875" bestFit="1" customWidth="1"/>
    <col min="2" max="2" width="39.140625" customWidth="1"/>
    <col min="3" max="3" width="13.28515625" bestFit="1" customWidth="1"/>
    <col min="4" max="4" width="13.7109375" style="62" customWidth="1"/>
    <col min="5" max="5" width="14.140625" style="62" bestFit="1" customWidth="1"/>
    <col min="6" max="6" width="13.85546875" style="62" customWidth="1"/>
  </cols>
  <sheetData>
    <row r="1" spans="1:6" x14ac:dyDescent="0.2">
      <c r="A1" s="18" t="s">
        <v>1410</v>
      </c>
      <c r="B1" s="4" t="s">
        <v>638</v>
      </c>
      <c r="C1" s="1" t="s">
        <v>1410</v>
      </c>
      <c r="D1" s="75" t="s">
        <v>1410</v>
      </c>
      <c r="E1" s="75" t="s">
        <v>1410</v>
      </c>
      <c r="F1" s="75" t="s">
        <v>1410</v>
      </c>
    </row>
    <row r="2" spans="1:6" x14ac:dyDescent="0.2">
      <c r="A2" s="18"/>
      <c r="B2" s="4" t="s">
        <v>1183</v>
      </c>
      <c r="C2" s="1" t="s">
        <v>1410</v>
      </c>
      <c r="D2" s="75" t="s">
        <v>1410</v>
      </c>
      <c r="E2" s="75" t="s">
        <v>1410</v>
      </c>
      <c r="F2" s="75" t="s">
        <v>1410</v>
      </c>
    </row>
    <row r="3" spans="1:6" x14ac:dyDescent="0.2">
      <c r="A3" s="18"/>
      <c r="C3" s="1" t="s">
        <v>1410</v>
      </c>
      <c r="D3" s="75" t="s">
        <v>1410</v>
      </c>
      <c r="E3" s="75" t="s">
        <v>1410</v>
      </c>
      <c r="F3" s="75" t="s">
        <v>1410</v>
      </c>
    </row>
    <row r="4" spans="1:6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6" x14ac:dyDescent="0.2">
      <c r="A5" s="18"/>
      <c r="B5" s="4" t="s">
        <v>299</v>
      </c>
    </row>
    <row r="6" spans="1:6" x14ac:dyDescent="0.2">
      <c r="A6" s="18" t="s">
        <v>1348</v>
      </c>
      <c r="B6" s="253" t="s">
        <v>2155</v>
      </c>
      <c r="C6" s="66">
        <v>20114.8</v>
      </c>
      <c r="D6" s="66">
        <v>17683.54</v>
      </c>
      <c r="E6" s="66">
        <v>20000</v>
      </c>
      <c r="F6" s="66">
        <v>12000</v>
      </c>
    </row>
    <row r="7" spans="1:6" x14ac:dyDescent="0.2">
      <c r="A7" s="129" t="s">
        <v>1589</v>
      </c>
      <c r="B7" s="254" t="s">
        <v>2156</v>
      </c>
      <c r="C7" s="67">
        <v>8393.8799999999992</v>
      </c>
      <c r="D7" s="67">
        <v>5858.3</v>
      </c>
      <c r="E7" s="67">
        <v>7500</v>
      </c>
      <c r="F7" s="67">
        <v>6000</v>
      </c>
    </row>
    <row r="8" spans="1:6" x14ac:dyDescent="0.2">
      <c r="A8" s="18" t="s">
        <v>1349</v>
      </c>
      <c r="B8" s="253" t="s">
        <v>1746</v>
      </c>
      <c r="C8" s="63">
        <v>176.07</v>
      </c>
      <c r="D8" s="63">
        <v>133.03</v>
      </c>
      <c r="E8" s="63">
        <v>150</v>
      </c>
      <c r="F8" s="63">
        <v>150</v>
      </c>
    </row>
    <row r="9" spans="1:6" ht="13.5" thickBot="1" x14ac:dyDescent="0.25">
      <c r="A9" s="18" t="s">
        <v>1410</v>
      </c>
      <c r="B9" s="6" t="s">
        <v>129</v>
      </c>
      <c r="C9" s="71">
        <f>SUM(C6:C8)</f>
        <v>28684.75</v>
      </c>
      <c r="D9" s="71">
        <f>SUM(D6:D8)</f>
        <v>23674.87</v>
      </c>
      <c r="E9" s="71">
        <f>SUM(E6:E8)</f>
        <v>27650</v>
      </c>
      <c r="F9" s="71">
        <f>SUM(F6:F8)</f>
        <v>18150</v>
      </c>
    </row>
    <row r="10" spans="1:6" ht="13.5" thickTop="1" x14ac:dyDescent="0.2">
      <c r="A10" s="18"/>
      <c r="C10" s="62"/>
    </row>
    <row r="11" spans="1:6" x14ac:dyDescent="0.2">
      <c r="A11" s="18"/>
      <c r="B11" s="4" t="s">
        <v>844</v>
      </c>
      <c r="C11" s="62"/>
    </row>
    <row r="12" spans="1:6" x14ac:dyDescent="0.2">
      <c r="A12" s="18" t="s">
        <v>1184</v>
      </c>
      <c r="B12" s="254" t="s">
        <v>1989</v>
      </c>
      <c r="C12" s="66">
        <v>6453.95</v>
      </c>
      <c r="D12" s="66">
        <v>14597.39</v>
      </c>
      <c r="E12" s="66">
        <v>14752</v>
      </c>
      <c r="F12" s="66">
        <v>14752</v>
      </c>
    </row>
    <row r="13" spans="1:6" x14ac:dyDescent="0.2">
      <c r="A13" s="18" t="s">
        <v>1185</v>
      </c>
      <c r="B13" s="254" t="s">
        <v>1895</v>
      </c>
      <c r="C13" s="54">
        <v>493.68</v>
      </c>
      <c r="D13" s="54">
        <v>1229.04</v>
      </c>
      <c r="E13" s="54">
        <v>1243</v>
      </c>
      <c r="F13" s="54">
        <v>1243</v>
      </c>
    </row>
    <row r="14" spans="1:6" x14ac:dyDescent="0.2">
      <c r="A14" s="18" t="s">
        <v>1067</v>
      </c>
      <c r="B14" s="254" t="s">
        <v>1896</v>
      </c>
      <c r="C14" s="54">
        <v>754.97</v>
      </c>
      <c r="D14" s="54">
        <v>1732.89</v>
      </c>
      <c r="E14" s="54">
        <v>1815</v>
      </c>
      <c r="F14" s="54">
        <v>1815</v>
      </c>
    </row>
    <row r="15" spans="1:6" x14ac:dyDescent="0.2">
      <c r="A15" s="18" t="s">
        <v>1186</v>
      </c>
      <c r="B15" s="254" t="s">
        <v>1898</v>
      </c>
      <c r="C15" s="54">
        <v>0</v>
      </c>
      <c r="D15" s="54">
        <v>1471.1</v>
      </c>
      <c r="E15" s="54">
        <v>1500</v>
      </c>
      <c r="F15" s="54">
        <v>1500</v>
      </c>
    </row>
    <row r="16" spans="1:6" x14ac:dyDescent="0.2">
      <c r="A16" s="18" t="s">
        <v>1187</v>
      </c>
      <c r="B16" s="254" t="s">
        <v>1899</v>
      </c>
      <c r="C16" s="54">
        <v>0</v>
      </c>
      <c r="D16" s="54">
        <v>143</v>
      </c>
      <c r="E16" s="54">
        <v>300</v>
      </c>
      <c r="F16" s="54">
        <v>300</v>
      </c>
    </row>
    <row r="17" spans="1:6" x14ac:dyDescent="0.2">
      <c r="A17" s="18" t="s">
        <v>1806</v>
      </c>
      <c r="B17" s="254" t="s">
        <v>1902</v>
      </c>
      <c r="C17" s="54">
        <v>0</v>
      </c>
      <c r="D17" s="54">
        <v>0</v>
      </c>
      <c r="E17" s="54">
        <v>1500</v>
      </c>
      <c r="F17" s="54">
        <v>1000</v>
      </c>
    </row>
    <row r="18" spans="1:6" ht="13.5" thickBot="1" x14ac:dyDescent="0.25">
      <c r="A18" s="18"/>
      <c r="B18" s="6" t="s">
        <v>1319</v>
      </c>
      <c r="C18" s="78">
        <f t="shared" ref="C18:D18" si="0">SUM(C12:C17)</f>
        <v>7702.6</v>
      </c>
      <c r="D18" s="78">
        <f t="shared" si="0"/>
        <v>19173.419999999998</v>
      </c>
      <c r="E18" s="78">
        <f>SUM(E12:E17)</f>
        <v>21110</v>
      </c>
      <c r="F18" s="78">
        <f>SUM(F12:F17)</f>
        <v>20610</v>
      </c>
    </row>
    <row r="19" spans="1:6" ht="13.5" thickTop="1" x14ac:dyDescent="0.2">
      <c r="A19" s="18"/>
      <c r="C19" s="62"/>
    </row>
    <row r="20" spans="1:6" x14ac:dyDescent="0.2">
      <c r="A20" s="18"/>
      <c r="B20" s="4" t="s">
        <v>638</v>
      </c>
      <c r="C20" s="62"/>
    </row>
    <row r="21" spans="1:6" x14ac:dyDescent="0.2">
      <c r="A21" s="18"/>
      <c r="B21" s="4" t="s">
        <v>1183</v>
      </c>
      <c r="C21" s="62"/>
    </row>
    <row r="22" spans="1:6" x14ac:dyDescent="0.2">
      <c r="A22" s="18"/>
      <c r="B22" s="4" t="s">
        <v>1321</v>
      </c>
      <c r="C22" s="62"/>
    </row>
    <row r="23" spans="1:6" x14ac:dyDescent="0.2">
      <c r="A23" s="18"/>
      <c r="C23" s="77" t="str">
        <f t="shared" ref="C23:D23" si="1">+C4</f>
        <v>2018 ACTUAL</v>
      </c>
      <c r="D23" s="77" t="str">
        <f t="shared" si="1"/>
        <v>2019 ACTUAL</v>
      </c>
      <c r="E23" s="77" t="str">
        <f t="shared" ref="E23:F23" si="2">+E4</f>
        <v>2020 BUDGET</v>
      </c>
      <c r="F23" s="77" t="str">
        <f t="shared" si="2"/>
        <v>2021 BUDGET</v>
      </c>
    </row>
    <row r="24" spans="1:6" x14ac:dyDescent="0.2">
      <c r="A24" s="18" t="s">
        <v>1410</v>
      </c>
      <c r="C24" s="75"/>
      <c r="D24" s="75"/>
      <c r="E24" s="75"/>
      <c r="F24" s="75"/>
    </row>
    <row r="25" spans="1:6" x14ac:dyDescent="0.2">
      <c r="A25" s="18"/>
      <c r="B25" t="s">
        <v>1322</v>
      </c>
      <c r="C25" s="66">
        <v>36497.22</v>
      </c>
      <c r="D25" s="66">
        <f>C33</f>
        <v>57479.37</v>
      </c>
      <c r="E25" s="66">
        <f>D33</f>
        <v>61980.820000000007</v>
      </c>
      <c r="F25" s="66">
        <f>E33</f>
        <v>68520.820000000007</v>
      </c>
    </row>
    <row r="26" spans="1:6" x14ac:dyDescent="0.2">
      <c r="A26" t="s">
        <v>1410</v>
      </c>
      <c r="C26" s="62"/>
    </row>
    <row r="27" spans="1:6" x14ac:dyDescent="0.2">
      <c r="A27" s="18"/>
      <c r="B27" t="s">
        <v>106</v>
      </c>
      <c r="C27" s="67">
        <f>C9</f>
        <v>28684.75</v>
      </c>
      <c r="D27" s="67">
        <f>D9</f>
        <v>23674.87</v>
      </c>
      <c r="E27" s="67">
        <f>E9</f>
        <v>27650</v>
      </c>
      <c r="F27" s="67">
        <f>F9</f>
        <v>18150</v>
      </c>
    </row>
    <row r="28" spans="1:6" x14ac:dyDescent="0.2">
      <c r="A28" s="18"/>
      <c r="C28" s="67"/>
      <c r="D28" s="67"/>
      <c r="E28" s="67"/>
      <c r="F28" s="67"/>
    </row>
    <row r="29" spans="1:6" x14ac:dyDescent="0.2">
      <c r="A29" s="18"/>
      <c r="B29" t="s">
        <v>1404</v>
      </c>
      <c r="C29" s="67">
        <f>C18</f>
        <v>7702.6</v>
      </c>
      <c r="D29" s="67">
        <f>D18</f>
        <v>19173.419999999998</v>
      </c>
      <c r="E29" s="67">
        <f>E18</f>
        <v>21110</v>
      </c>
      <c r="F29" s="67">
        <f>F18</f>
        <v>20610</v>
      </c>
    </row>
    <row r="30" spans="1:6" x14ac:dyDescent="0.2">
      <c r="A30" s="18"/>
      <c r="C30" s="67"/>
      <c r="D30" s="67"/>
      <c r="E30" s="67"/>
      <c r="F30" s="67"/>
    </row>
    <row r="31" spans="1:6" x14ac:dyDescent="0.2">
      <c r="A31" s="18"/>
      <c r="B31" t="s">
        <v>1325</v>
      </c>
      <c r="C31" s="63">
        <v>0</v>
      </c>
      <c r="D31" s="63">
        <v>0</v>
      </c>
      <c r="E31" s="63">
        <v>0</v>
      </c>
      <c r="F31" s="63">
        <v>0</v>
      </c>
    </row>
    <row r="32" spans="1:6" x14ac:dyDescent="0.2">
      <c r="C32" s="62"/>
    </row>
    <row r="33" spans="2:6" ht="13.5" thickBot="1" x14ac:dyDescent="0.25">
      <c r="B33" t="s">
        <v>1326</v>
      </c>
      <c r="C33" s="71">
        <f>C25+C27-C29+C31</f>
        <v>57479.37</v>
      </c>
      <c r="D33" s="71">
        <f>D25+D27-D29+D31</f>
        <v>61980.820000000007</v>
      </c>
      <c r="E33" s="71">
        <f>E25+E27-E29+E31</f>
        <v>68520.820000000007</v>
      </c>
      <c r="F33" s="71">
        <f>F25+F27-F29+F31</f>
        <v>66060.820000000007</v>
      </c>
    </row>
    <row r="34" spans="2:6" ht="13.5" thickTop="1" x14ac:dyDescent="0.2"/>
    <row r="35" spans="2:6" x14ac:dyDescent="0.2">
      <c r="D35" s="67"/>
    </row>
    <row r="36" spans="2:6" x14ac:dyDescent="0.2">
      <c r="C36" s="10"/>
    </row>
  </sheetData>
  <phoneticPr fontId="2" type="noConversion"/>
  <pageMargins left="0.5" right="0.5" top="1" bottom="1" header="0.5" footer="0.5"/>
  <pageSetup scale="85" firstPageNumber="35" orientation="portrait" useFirstPageNumber="1" r:id="rId1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125"/>
  <sheetViews>
    <sheetView zoomScaleNormal="100" workbookViewId="0"/>
  </sheetViews>
  <sheetFormatPr defaultRowHeight="12.75" x14ac:dyDescent="0.2"/>
  <cols>
    <col min="1" max="1" width="14.85546875" bestFit="1" customWidth="1"/>
    <col min="2" max="2" width="40" customWidth="1"/>
    <col min="3" max="3" width="13.140625" bestFit="1" customWidth="1"/>
    <col min="4" max="6" width="13.28515625" style="62" bestFit="1" customWidth="1"/>
  </cols>
  <sheetData>
    <row r="1" spans="1:6" x14ac:dyDescent="0.2">
      <c r="A1" s="18" t="s">
        <v>1410</v>
      </c>
      <c r="B1" s="4" t="s">
        <v>638</v>
      </c>
      <c r="C1" s="1" t="s">
        <v>1410</v>
      </c>
      <c r="D1" s="75" t="s">
        <v>1410</v>
      </c>
      <c r="E1" s="75" t="s">
        <v>1410</v>
      </c>
      <c r="F1" s="75" t="s">
        <v>1410</v>
      </c>
    </row>
    <row r="2" spans="1:6" x14ac:dyDescent="0.2">
      <c r="A2" s="18"/>
      <c r="B2" s="4" t="s">
        <v>592</v>
      </c>
      <c r="C2" s="1" t="s">
        <v>1410</v>
      </c>
      <c r="D2" s="75" t="s">
        <v>1410</v>
      </c>
      <c r="E2" s="75" t="s">
        <v>1410</v>
      </c>
      <c r="F2" s="75" t="s">
        <v>1410</v>
      </c>
    </row>
    <row r="4" spans="1:6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6" x14ac:dyDescent="0.2">
      <c r="A5" s="18"/>
      <c r="B5" s="4" t="s">
        <v>299</v>
      </c>
    </row>
    <row r="6" spans="1:6" x14ac:dyDescent="0.2">
      <c r="A6" s="18" t="s">
        <v>1350</v>
      </c>
      <c r="B6" s="253" t="s">
        <v>645</v>
      </c>
      <c r="C6" s="66">
        <v>13650.69</v>
      </c>
      <c r="D6" s="66">
        <v>17605</v>
      </c>
      <c r="E6" s="66">
        <v>14000</v>
      </c>
      <c r="F6" s="66">
        <v>15000</v>
      </c>
    </row>
    <row r="7" spans="1:6" x14ac:dyDescent="0.2">
      <c r="A7" s="18" t="s">
        <v>1351</v>
      </c>
      <c r="B7" s="253" t="s">
        <v>648</v>
      </c>
      <c r="C7" s="67">
        <v>22763.86</v>
      </c>
      <c r="D7" s="67">
        <v>21992.91</v>
      </c>
      <c r="E7" s="67">
        <v>21000</v>
      </c>
      <c r="F7" s="67">
        <v>15000</v>
      </c>
    </row>
    <row r="8" spans="1:6" x14ac:dyDescent="0.2">
      <c r="A8" s="18" t="s">
        <v>1352</v>
      </c>
      <c r="B8" s="253" t="s">
        <v>1746</v>
      </c>
      <c r="C8" s="67">
        <v>1175.42</v>
      </c>
      <c r="D8" s="67">
        <v>1180.73</v>
      </c>
      <c r="E8" s="67">
        <v>1000</v>
      </c>
      <c r="F8" s="67">
        <v>700</v>
      </c>
    </row>
    <row r="9" spans="1:6" x14ac:dyDescent="0.2">
      <c r="A9" s="18" t="s">
        <v>1353</v>
      </c>
      <c r="B9" s="253" t="s">
        <v>1882</v>
      </c>
      <c r="C9" s="63">
        <v>190</v>
      </c>
      <c r="D9" s="63">
        <v>0</v>
      </c>
      <c r="E9" s="63">
        <v>5000</v>
      </c>
      <c r="F9" s="63">
        <v>100</v>
      </c>
    </row>
    <row r="10" spans="1:6" ht="13.5" thickBot="1" x14ac:dyDescent="0.25">
      <c r="A10" s="18" t="s">
        <v>1410</v>
      </c>
      <c r="B10" s="6" t="s">
        <v>129</v>
      </c>
      <c r="C10" s="71">
        <f>SUM(C6:C9)</f>
        <v>37779.97</v>
      </c>
      <c r="D10" s="71">
        <f>SUM(D6:D9)</f>
        <v>40778.640000000007</v>
      </c>
      <c r="E10" s="71">
        <f>SUM(E6:E9)</f>
        <v>41000</v>
      </c>
      <c r="F10" s="71">
        <f>SUM(F6:F9)</f>
        <v>30800</v>
      </c>
    </row>
    <row r="11" spans="1:6" ht="13.5" thickTop="1" x14ac:dyDescent="0.2">
      <c r="A11" s="18"/>
      <c r="C11" s="62"/>
    </row>
    <row r="12" spans="1:6" x14ac:dyDescent="0.2">
      <c r="A12" s="18"/>
      <c r="B12" s="4" t="s">
        <v>844</v>
      </c>
      <c r="C12" s="62"/>
    </row>
    <row r="13" spans="1:6" x14ac:dyDescent="0.2">
      <c r="A13" s="18" t="s">
        <v>593</v>
      </c>
      <c r="B13" s="254" t="s">
        <v>1889</v>
      </c>
      <c r="C13" s="66">
        <v>5600</v>
      </c>
      <c r="D13" s="66">
        <v>5600.14</v>
      </c>
      <c r="E13" s="66">
        <v>5600</v>
      </c>
      <c r="F13" s="66">
        <v>5600</v>
      </c>
    </row>
    <row r="14" spans="1:6" x14ac:dyDescent="0.2">
      <c r="A14" s="18" t="s">
        <v>1406</v>
      </c>
      <c r="B14" s="254" t="s">
        <v>2157</v>
      </c>
      <c r="C14" s="54">
        <v>35333.08</v>
      </c>
      <c r="D14" s="54">
        <v>31407.119999999999</v>
      </c>
      <c r="E14" s="54">
        <v>35000</v>
      </c>
      <c r="F14" s="54">
        <v>35000</v>
      </c>
    </row>
    <row r="15" spans="1:6" x14ac:dyDescent="0.2">
      <c r="A15" s="18" t="s">
        <v>594</v>
      </c>
      <c r="B15" s="254" t="s">
        <v>1904</v>
      </c>
      <c r="C15" s="63">
        <v>160.55000000000001</v>
      </c>
      <c r="D15" s="63">
        <v>0</v>
      </c>
      <c r="E15" s="63">
        <v>500</v>
      </c>
      <c r="F15" s="63">
        <v>100</v>
      </c>
    </row>
    <row r="16" spans="1:6" ht="13.5" thickBot="1" x14ac:dyDescent="0.25">
      <c r="A16" s="18"/>
      <c r="B16" s="6" t="s">
        <v>1319</v>
      </c>
      <c r="C16" s="71">
        <f>SUM(C13:C15)</f>
        <v>41093.630000000005</v>
      </c>
      <c r="D16" s="71">
        <f>SUM(D13:D15)</f>
        <v>37007.26</v>
      </c>
      <c r="E16" s="71">
        <f>SUM(E13:E15)</f>
        <v>41100</v>
      </c>
      <c r="F16" s="71">
        <f>SUM(F13:F15)</f>
        <v>40700</v>
      </c>
    </row>
    <row r="17" spans="1:6" ht="13.5" thickTop="1" x14ac:dyDescent="0.2">
      <c r="A17" s="18"/>
      <c r="C17" s="62"/>
    </row>
    <row r="18" spans="1:6" x14ac:dyDescent="0.2">
      <c r="A18" s="18"/>
      <c r="B18" s="4" t="s">
        <v>638</v>
      </c>
      <c r="C18" s="62"/>
    </row>
    <row r="19" spans="1:6" x14ac:dyDescent="0.2">
      <c r="A19" s="18"/>
      <c r="B19" s="4" t="s">
        <v>592</v>
      </c>
      <c r="C19" s="62"/>
    </row>
    <row r="20" spans="1:6" x14ac:dyDescent="0.2">
      <c r="A20" s="18"/>
      <c r="B20" s="4" t="s">
        <v>1321</v>
      </c>
      <c r="C20" s="62"/>
    </row>
    <row r="21" spans="1:6" x14ac:dyDescent="0.2">
      <c r="A21" s="18"/>
      <c r="C21" s="77" t="str">
        <f t="shared" ref="C21:D21" si="0">+C4</f>
        <v>2018 ACTUAL</v>
      </c>
      <c r="D21" s="77" t="str">
        <f t="shared" si="0"/>
        <v>2019 ACTUAL</v>
      </c>
      <c r="E21" s="77" t="str">
        <f t="shared" ref="E21:F21" si="1">+E4</f>
        <v>2020 BUDGET</v>
      </c>
      <c r="F21" s="77" t="str">
        <f t="shared" si="1"/>
        <v>2021 BUDGET</v>
      </c>
    </row>
    <row r="22" spans="1:6" x14ac:dyDescent="0.2">
      <c r="A22" s="18" t="s">
        <v>1410</v>
      </c>
      <c r="C22" s="75"/>
      <c r="D22" s="75"/>
      <c r="E22" s="75"/>
      <c r="F22" s="75"/>
    </row>
    <row r="23" spans="1:6" x14ac:dyDescent="0.2">
      <c r="A23" s="18"/>
      <c r="B23" t="s">
        <v>1322</v>
      </c>
      <c r="C23" s="66">
        <v>70421.75</v>
      </c>
      <c r="D23" s="66">
        <f>C31</f>
        <v>67108.09</v>
      </c>
      <c r="E23" s="66">
        <f>D31</f>
        <v>70879.47</v>
      </c>
      <c r="F23" s="66">
        <f>E31</f>
        <v>70779.47</v>
      </c>
    </row>
    <row r="24" spans="1:6" x14ac:dyDescent="0.2">
      <c r="A24" t="s">
        <v>1410</v>
      </c>
      <c r="C24" s="62"/>
    </row>
    <row r="25" spans="1:6" x14ac:dyDescent="0.2">
      <c r="A25" s="18"/>
      <c r="B25" t="s">
        <v>106</v>
      </c>
      <c r="C25" s="67">
        <f>C10</f>
        <v>37779.97</v>
      </c>
      <c r="D25" s="67">
        <f>D10</f>
        <v>40778.640000000007</v>
      </c>
      <c r="E25" s="67">
        <f>E10</f>
        <v>41000</v>
      </c>
      <c r="F25" s="67">
        <f>F10</f>
        <v>30800</v>
      </c>
    </row>
    <row r="26" spans="1:6" x14ac:dyDescent="0.2">
      <c r="A26" s="18"/>
      <c r="C26" s="67"/>
      <c r="D26" s="67"/>
      <c r="E26" s="67"/>
      <c r="F26" s="67"/>
    </row>
    <row r="27" spans="1:6" x14ac:dyDescent="0.2">
      <c r="A27" s="18"/>
      <c r="B27" t="s">
        <v>1404</v>
      </c>
      <c r="C27" s="67">
        <f>C16</f>
        <v>41093.630000000005</v>
      </c>
      <c r="D27" s="67">
        <f>D16</f>
        <v>37007.26</v>
      </c>
      <c r="E27" s="67">
        <f>E16</f>
        <v>41100</v>
      </c>
      <c r="F27" s="67">
        <f>F16</f>
        <v>40700</v>
      </c>
    </row>
    <row r="28" spans="1:6" x14ac:dyDescent="0.2">
      <c r="A28" s="18"/>
      <c r="C28" s="67"/>
      <c r="D28" s="67"/>
      <c r="E28" s="67"/>
      <c r="F28" s="67"/>
    </row>
    <row r="29" spans="1:6" x14ac:dyDescent="0.2">
      <c r="A29" s="18"/>
      <c r="B29" t="s">
        <v>1325</v>
      </c>
      <c r="C29" s="63">
        <v>0</v>
      </c>
      <c r="D29" s="63">
        <v>0</v>
      </c>
      <c r="E29" s="63">
        <v>0</v>
      </c>
      <c r="F29" s="63">
        <v>0</v>
      </c>
    </row>
    <row r="30" spans="1:6" x14ac:dyDescent="0.2">
      <c r="C30" s="62"/>
    </row>
    <row r="31" spans="1:6" ht="13.5" thickBot="1" x14ac:dyDescent="0.25">
      <c r="B31" t="s">
        <v>1326</v>
      </c>
      <c r="C31" s="71">
        <f>C23+C25-C27+C29</f>
        <v>67108.09</v>
      </c>
      <c r="D31" s="71">
        <f>D23+D25-D27+D29</f>
        <v>70879.47</v>
      </c>
      <c r="E31" s="71">
        <f>E23+E25-E27+E29</f>
        <v>70779.47</v>
      </c>
      <c r="F31" s="71">
        <f>F23+F25-F27+F29</f>
        <v>60879.47</v>
      </c>
    </row>
    <row r="32" spans="1:6" ht="13.5" thickTop="1" x14ac:dyDescent="0.2"/>
    <row r="33" spans="3:4" x14ac:dyDescent="0.2">
      <c r="D33" s="67"/>
    </row>
    <row r="34" spans="3:4" x14ac:dyDescent="0.2">
      <c r="C34" s="10"/>
    </row>
    <row r="125" spans="3:6" x14ac:dyDescent="0.2">
      <c r="C125" s="9"/>
      <c r="D125" s="81"/>
      <c r="E125" s="81"/>
      <c r="F125" s="81"/>
    </row>
  </sheetData>
  <phoneticPr fontId="2" type="noConversion"/>
  <pageMargins left="0.5" right="0.5" top="1" bottom="1" header="0.5" footer="0.5"/>
  <pageSetup scale="85" firstPageNumber="36" orientation="portrait" useFirstPageNumber="1" r:id="rId1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96"/>
  <sheetViews>
    <sheetView zoomScaleNormal="100" workbookViewId="0"/>
  </sheetViews>
  <sheetFormatPr defaultRowHeight="12.75" x14ac:dyDescent="0.2"/>
  <cols>
    <col min="1" max="1" width="14.85546875" bestFit="1" customWidth="1"/>
    <col min="2" max="2" width="39.85546875" customWidth="1"/>
    <col min="3" max="3" width="12.7109375" customWidth="1"/>
    <col min="4" max="4" width="13.5703125" style="62" customWidth="1"/>
    <col min="5" max="5" width="13.7109375" style="62" customWidth="1"/>
    <col min="6" max="6" width="14.140625" style="62" bestFit="1" customWidth="1"/>
    <col min="7" max="7" width="10.7109375" bestFit="1" customWidth="1"/>
    <col min="10" max="10" width="10.7109375" bestFit="1" customWidth="1"/>
  </cols>
  <sheetData>
    <row r="1" spans="1:6" x14ac:dyDescent="0.2">
      <c r="A1" s="18" t="s">
        <v>1410</v>
      </c>
      <c r="B1" s="4" t="s">
        <v>754</v>
      </c>
      <c r="C1" s="1" t="s">
        <v>1410</v>
      </c>
      <c r="D1" s="75" t="s">
        <v>1410</v>
      </c>
      <c r="E1" s="75" t="s">
        <v>1410</v>
      </c>
      <c r="F1" s="75" t="s">
        <v>1410</v>
      </c>
    </row>
    <row r="2" spans="1:6" x14ac:dyDescent="0.2">
      <c r="A2" s="18"/>
      <c r="B2" s="4" t="s">
        <v>719</v>
      </c>
      <c r="C2" s="1" t="s">
        <v>1410</v>
      </c>
      <c r="D2" s="75" t="s">
        <v>1410</v>
      </c>
      <c r="E2" s="75" t="s">
        <v>1410</v>
      </c>
      <c r="F2" s="75" t="s">
        <v>1410</v>
      </c>
    </row>
    <row r="3" spans="1:6" x14ac:dyDescent="0.2">
      <c r="A3" s="18"/>
      <c r="B3" s="4"/>
      <c r="C3" s="1"/>
      <c r="D3" s="75"/>
      <c r="E3" s="75"/>
      <c r="F3" s="75"/>
    </row>
    <row r="4" spans="1:6" x14ac:dyDescent="0.2">
      <c r="A4" s="18"/>
      <c r="B4" s="4" t="s">
        <v>299</v>
      </c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6" x14ac:dyDescent="0.2">
      <c r="A5" s="18" t="s">
        <v>974</v>
      </c>
      <c r="B5" s="4" t="s">
        <v>300</v>
      </c>
      <c r="C5" s="62"/>
    </row>
    <row r="6" spans="1:6" x14ac:dyDescent="0.2">
      <c r="A6" s="18" t="s">
        <v>1142</v>
      </c>
      <c r="B6" s="253" t="s">
        <v>1831</v>
      </c>
      <c r="C6" s="67">
        <v>1004271.82</v>
      </c>
      <c r="D6" s="67">
        <v>797470.95</v>
      </c>
      <c r="E6" s="67">
        <v>1028208</v>
      </c>
      <c r="F6" s="67">
        <f>SUM(intro!H381)</f>
        <v>985834.59467397677</v>
      </c>
    </row>
    <row r="7" spans="1:6" x14ac:dyDescent="0.2">
      <c r="A7" s="18" t="s">
        <v>1143</v>
      </c>
      <c r="B7" s="253" t="s">
        <v>1832</v>
      </c>
      <c r="C7" s="63">
        <v>44839.44</v>
      </c>
      <c r="D7" s="63">
        <v>25010.49</v>
      </c>
      <c r="E7" s="63">
        <v>28125</v>
      </c>
      <c r="F7" s="63">
        <f>+intro!K391</f>
        <v>29750.000000000004</v>
      </c>
    </row>
    <row r="8" spans="1:6" x14ac:dyDescent="0.2">
      <c r="A8" s="18"/>
      <c r="B8" s="6" t="s">
        <v>1099</v>
      </c>
      <c r="C8" s="69">
        <f>SUM(C6:C7)</f>
        <v>1049111.26</v>
      </c>
      <c r="D8" s="69">
        <f>SUM(D6:D7)</f>
        <v>822481.44</v>
      </c>
      <c r="E8" s="69">
        <f>SUM(E6:E7)</f>
        <v>1056333</v>
      </c>
      <c r="F8" s="69">
        <f>SUM(F6:F7)</f>
        <v>1015584.5946739768</v>
      </c>
    </row>
    <row r="9" spans="1:6" ht="7.5" customHeight="1" x14ac:dyDescent="0.2">
      <c r="A9" s="18"/>
      <c r="B9" s="6"/>
      <c r="C9" s="66"/>
      <c r="D9" s="66"/>
      <c r="E9" s="66"/>
      <c r="F9" s="66"/>
    </row>
    <row r="10" spans="1:6" x14ac:dyDescent="0.2">
      <c r="A10" s="18" t="s">
        <v>975</v>
      </c>
      <c r="B10" s="31" t="s">
        <v>755</v>
      </c>
      <c r="C10" s="66"/>
      <c r="D10" s="66"/>
      <c r="E10" s="66"/>
      <c r="F10" s="66"/>
    </row>
    <row r="11" spans="1:6" x14ac:dyDescent="0.2">
      <c r="A11" s="18" t="s">
        <v>849</v>
      </c>
      <c r="B11" s="254" t="s">
        <v>127</v>
      </c>
      <c r="C11" s="66">
        <v>28208.1</v>
      </c>
      <c r="D11" s="66">
        <v>27570.6</v>
      </c>
      <c r="E11" s="66">
        <v>28000</v>
      </c>
      <c r="F11" s="66">
        <v>28000</v>
      </c>
    </row>
    <row r="12" spans="1:6" x14ac:dyDescent="0.2">
      <c r="A12" s="18" t="s">
        <v>1144</v>
      </c>
      <c r="B12" s="254" t="s">
        <v>2158</v>
      </c>
      <c r="C12" s="63">
        <v>0</v>
      </c>
      <c r="D12" s="63">
        <v>0</v>
      </c>
      <c r="E12" s="63">
        <v>0</v>
      </c>
      <c r="F12" s="63">
        <v>0</v>
      </c>
    </row>
    <row r="13" spans="1:6" x14ac:dyDescent="0.2">
      <c r="A13" s="18" t="s">
        <v>1410</v>
      </c>
      <c r="B13" s="6" t="s">
        <v>1099</v>
      </c>
      <c r="C13" s="69">
        <f>SUM(C11:C12)</f>
        <v>28208.1</v>
      </c>
      <c r="D13" s="69">
        <f>SUM(D11:D12)</f>
        <v>27570.6</v>
      </c>
      <c r="E13" s="69">
        <f>SUM(E11:E12)</f>
        <v>28000</v>
      </c>
      <c r="F13" s="69">
        <f>SUM(F11:F12)</f>
        <v>28000</v>
      </c>
    </row>
    <row r="14" spans="1:6" ht="7.5" customHeight="1" x14ac:dyDescent="0.2">
      <c r="C14" s="62"/>
    </row>
    <row r="15" spans="1:6" x14ac:dyDescent="0.2">
      <c r="A15" s="18" t="s">
        <v>976</v>
      </c>
      <c r="B15" s="4" t="s">
        <v>301</v>
      </c>
      <c r="C15" s="62"/>
    </row>
    <row r="16" spans="1:6" x14ac:dyDescent="0.2">
      <c r="A16" s="18" t="s">
        <v>1145</v>
      </c>
      <c r="B16" s="253" t="s">
        <v>2159</v>
      </c>
      <c r="C16" s="66">
        <v>2963</v>
      </c>
      <c r="D16" s="66">
        <v>2130.6999999999998</v>
      </c>
      <c r="E16" s="66">
        <v>3000</v>
      </c>
      <c r="F16" s="66">
        <v>2500</v>
      </c>
    </row>
    <row r="17" spans="1:6" x14ac:dyDescent="0.2">
      <c r="A17" s="129" t="s">
        <v>1560</v>
      </c>
      <c r="B17" s="254" t="s">
        <v>2160</v>
      </c>
      <c r="C17" s="67">
        <v>413</v>
      </c>
      <c r="D17" s="67">
        <v>236</v>
      </c>
      <c r="E17" s="67">
        <v>400</v>
      </c>
      <c r="F17" s="67">
        <v>400</v>
      </c>
    </row>
    <row r="18" spans="1:6" x14ac:dyDescent="0.2">
      <c r="A18" s="129" t="s">
        <v>1561</v>
      </c>
      <c r="B18" s="254" t="s">
        <v>2161</v>
      </c>
      <c r="C18" s="67">
        <v>1586</v>
      </c>
      <c r="D18" s="67">
        <v>3589.2</v>
      </c>
      <c r="E18" s="67">
        <v>1500</v>
      </c>
      <c r="F18" s="67">
        <v>1500</v>
      </c>
    </row>
    <row r="19" spans="1:6" x14ac:dyDescent="0.2">
      <c r="A19" s="18" t="s">
        <v>1146</v>
      </c>
      <c r="B19" s="253" t="s">
        <v>1843</v>
      </c>
      <c r="C19" s="96">
        <v>181385</v>
      </c>
      <c r="D19" s="96">
        <v>312600</v>
      </c>
      <c r="E19" s="96">
        <v>185000</v>
      </c>
      <c r="F19" s="96">
        <v>225000</v>
      </c>
    </row>
    <row r="20" spans="1:6" x14ac:dyDescent="0.2">
      <c r="A20" s="61" t="s">
        <v>1753</v>
      </c>
      <c r="B20" s="254" t="s">
        <v>2162</v>
      </c>
      <c r="C20" s="68">
        <v>0</v>
      </c>
      <c r="D20" s="68">
        <v>0</v>
      </c>
      <c r="E20" s="68">
        <v>0</v>
      </c>
      <c r="F20" s="68">
        <v>0</v>
      </c>
    </row>
    <row r="21" spans="1:6" x14ac:dyDescent="0.2">
      <c r="A21" s="18"/>
      <c r="B21" s="6" t="s">
        <v>1099</v>
      </c>
      <c r="C21" s="69">
        <f>SUM(C16:C19)</f>
        <v>186347</v>
      </c>
      <c r="D21" s="69">
        <f>SUM(D16:D19)</f>
        <v>318555.90000000002</v>
      </c>
      <c r="E21" s="69">
        <f>SUM(E16:E19)</f>
        <v>189900</v>
      </c>
      <c r="F21" s="69">
        <f>SUM(F16:F19)</f>
        <v>229400</v>
      </c>
    </row>
    <row r="22" spans="1:6" x14ac:dyDescent="0.2">
      <c r="C22" s="62"/>
    </row>
    <row r="23" spans="1:6" x14ac:dyDescent="0.2">
      <c r="A23" s="18" t="s">
        <v>977</v>
      </c>
      <c r="B23" s="4" t="s">
        <v>1557</v>
      </c>
      <c r="C23" s="62"/>
    </row>
    <row r="24" spans="1:6" x14ac:dyDescent="0.2">
      <c r="A24" s="18" t="s">
        <v>1147</v>
      </c>
      <c r="B24" s="254" t="s">
        <v>1746</v>
      </c>
      <c r="C24" s="74">
        <v>6691.89</v>
      </c>
      <c r="D24" s="74">
        <v>12700.1</v>
      </c>
      <c r="E24" s="74">
        <v>5000</v>
      </c>
      <c r="F24" s="74">
        <v>4000</v>
      </c>
    </row>
    <row r="25" spans="1:6" x14ac:dyDescent="0.2">
      <c r="A25" s="18" t="s">
        <v>1148</v>
      </c>
      <c r="B25" s="254" t="s">
        <v>1872</v>
      </c>
      <c r="C25" s="67">
        <v>0</v>
      </c>
      <c r="D25" s="67">
        <v>0</v>
      </c>
      <c r="E25" s="67">
        <v>0</v>
      </c>
      <c r="F25" s="67">
        <v>0</v>
      </c>
    </row>
    <row r="26" spans="1:6" x14ac:dyDescent="0.2">
      <c r="A26" s="18" t="s">
        <v>1149</v>
      </c>
      <c r="B26" s="254" t="s">
        <v>1879</v>
      </c>
      <c r="C26" s="67">
        <v>0</v>
      </c>
      <c r="D26" s="67">
        <v>0</v>
      </c>
      <c r="E26" s="67">
        <v>0</v>
      </c>
      <c r="F26" s="67">
        <v>0</v>
      </c>
    </row>
    <row r="27" spans="1:6" x14ac:dyDescent="0.2">
      <c r="A27" s="18" t="s">
        <v>1150</v>
      </c>
      <c r="B27" s="254" t="s">
        <v>1882</v>
      </c>
      <c r="C27" s="63">
        <v>0</v>
      </c>
      <c r="D27" s="63">
        <v>0</v>
      </c>
      <c r="E27" s="63">
        <v>0</v>
      </c>
      <c r="F27" s="63">
        <v>0</v>
      </c>
    </row>
    <row r="28" spans="1:6" x14ac:dyDescent="0.2">
      <c r="A28" s="18"/>
      <c r="B28" s="6" t="s">
        <v>1099</v>
      </c>
      <c r="C28" s="93">
        <f>SUM(C24:C27)</f>
        <v>6691.89</v>
      </c>
      <c r="D28" s="93">
        <f>SUM(D24:D27)</f>
        <v>12700.1</v>
      </c>
      <c r="E28" s="93">
        <f>SUM(E24:E27)</f>
        <v>5000</v>
      </c>
      <c r="F28" s="93">
        <f>SUM(F24:F27)</f>
        <v>4000</v>
      </c>
    </row>
    <row r="29" spans="1:6" x14ac:dyDescent="0.2">
      <c r="A29" s="37">
        <v>450.4</v>
      </c>
      <c r="B29" s="4" t="s">
        <v>1829</v>
      </c>
      <c r="C29" s="72"/>
      <c r="D29" s="54"/>
      <c r="E29" s="72"/>
      <c r="F29" s="72"/>
    </row>
    <row r="30" spans="1:6" x14ac:dyDescent="0.2">
      <c r="A30" s="37" t="s">
        <v>2099</v>
      </c>
      <c r="B30" s="253" t="s">
        <v>1886</v>
      </c>
      <c r="C30" s="82">
        <v>0</v>
      </c>
      <c r="D30" s="82">
        <v>70.2</v>
      </c>
      <c r="E30" s="63">
        <v>40000</v>
      </c>
      <c r="F30" s="82">
        <v>0</v>
      </c>
    </row>
    <row r="31" spans="1:6" x14ac:dyDescent="0.2">
      <c r="A31" s="37"/>
      <c r="B31" s="6"/>
      <c r="C31" s="263">
        <f t="shared" ref="C31:F31" si="0">+C30</f>
        <v>0</v>
      </c>
      <c r="D31" s="263">
        <f t="shared" si="0"/>
        <v>70.2</v>
      </c>
      <c r="E31" s="263">
        <f t="shared" si="0"/>
        <v>40000</v>
      </c>
      <c r="F31" s="263">
        <f t="shared" si="0"/>
        <v>0</v>
      </c>
    </row>
    <row r="32" spans="1:6" x14ac:dyDescent="0.2">
      <c r="A32" s="18"/>
      <c r="B32" s="6"/>
      <c r="C32" s="62"/>
    </row>
    <row r="33" spans="1:10" ht="13.5" thickBot="1" x14ac:dyDescent="0.25">
      <c r="A33" s="18" t="s">
        <v>1410</v>
      </c>
      <c r="B33" s="6" t="s">
        <v>129</v>
      </c>
      <c r="C33" s="71">
        <f t="shared" ref="C33:F33" si="1">C8+C13+C21+C28+C31</f>
        <v>1270358.25</v>
      </c>
      <c r="D33" s="71">
        <f t="shared" si="1"/>
        <v>1181378.24</v>
      </c>
      <c r="E33" s="71">
        <f t="shared" si="1"/>
        <v>1319233</v>
      </c>
      <c r="F33" s="71">
        <f t="shared" si="1"/>
        <v>1276984.5946739768</v>
      </c>
    </row>
    <row r="34" spans="1:10" ht="10.5" customHeight="1" thickTop="1" x14ac:dyDescent="0.2">
      <c r="A34" s="18"/>
      <c r="B34" s="6"/>
      <c r="C34" s="72"/>
      <c r="D34" s="72"/>
      <c r="E34" s="72"/>
      <c r="F34" s="72"/>
    </row>
    <row r="35" spans="1:10" x14ac:dyDescent="0.2">
      <c r="A35" s="59"/>
      <c r="B35" s="4" t="s">
        <v>844</v>
      </c>
      <c r="C35" s="62"/>
    </row>
    <row r="36" spans="1:10" x14ac:dyDescent="0.2">
      <c r="A36" s="18" t="s">
        <v>1013</v>
      </c>
      <c r="B36" s="253" t="s">
        <v>2163</v>
      </c>
      <c r="C36" s="66">
        <v>16076.23</v>
      </c>
      <c r="D36" s="66">
        <v>16068.26</v>
      </c>
      <c r="E36" s="66">
        <f>5658+5658+4752</f>
        <v>16068</v>
      </c>
      <c r="F36" s="66">
        <f>5658+5658+4752</f>
        <v>16068</v>
      </c>
      <c r="G36" s="5"/>
      <c r="H36" s="5"/>
      <c r="I36" s="5"/>
    </row>
    <row r="37" spans="1:10" x14ac:dyDescent="0.2">
      <c r="A37" s="18" t="s">
        <v>1014</v>
      </c>
      <c r="B37" s="253" t="s">
        <v>2164</v>
      </c>
      <c r="C37" s="67">
        <v>0</v>
      </c>
      <c r="D37" s="67">
        <v>0</v>
      </c>
      <c r="E37" s="67">
        <v>0</v>
      </c>
      <c r="F37" s="67">
        <v>0</v>
      </c>
      <c r="G37" s="8"/>
      <c r="H37" s="10"/>
    </row>
    <row r="38" spans="1:10" x14ac:dyDescent="0.2">
      <c r="A38" s="18" t="s">
        <v>1015</v>
      </c>
      <c r="B38" s="253" t="s">
        <v>2028</v>
      </c>
      <c r="C38" s="34">
        <v>739179.74</v>
      </c>
      <c r="D38" s="34">
        <v>680141.58</v>
      </c>
      <c r="E38" s="34">
        <f>760345+83</f>
        <v>760428</v>
      </c>
      <c r="F38" s="34">
        <v>825433</v>
      </c>
      <c r="G38" s="10"/>
    </row>
    <row r="39" spans="1:10" x14ac:dyDescent="0.2">
      <c r="A39" s="18" t="s">
        <v>1016</v>
      </c>
      <c r="B39" s="253" t="s">
        <v>1893</v>
      </c>
      <c r="C39" s="67">
        <v>3976.61</v>
      </c>
      <c r="D39" s="67">
        <v>5810.4</v>
      </c>
      <c r="E39" s="67">
        <v>7500</v>
      </c>
      <c r="F39" s="67">
        <v>6120</v>
      </c>
    </row>
    <row r="40" spans="1:10" x14ac:dyDescent="0.2">
      <c r="A40" s="18" t="s">
        <v>658</v>
      </c>
      <c r="B40" s="253" t="s">
        <v>1961</v>
      </c>
      <c r="C40" s="67">
        <v>36769.93</v>
      </c>
      <c r="D40" s="67">
        <v>30001.25</v>
      </c>
      <c r="E40" s="67">
        <v>29714</v>
      </c>
      <c r="F40" s="67">
        <v>22214</v>
      </c>
    </row>
    <row r="41" spans="1:10" x14ac:dyDescent="0.2">
      <c r="A41" s="18" t="s">
        <v>1017</v>
      </c>
      <c r="B41" s="253" t="s">
        <v>1895</v>
      </c>
      <c r="C41" s="34">
        <v>58367.49</v>
      </c>
      <c r="D41" s="34">
        <v>53372.86</v>
      </c>
      <c r="E41" s="34">
        <v>61013</v>
      </c>
      <c r="F41" s="34">
        <v>65313</v>
      </c>
      <c r="G41" s="8"/>
      <c r="H41" s="8"/>
      <c r="I41" s="8"/>
      <c r="J41" s="8"/>
    </row>
    <row r="42" spans="1:10" x14ac:dyDescent="0.2">
      <c r="A42" s="18" t="s">
        <v>1019</v>
      </c>
      <c r="B42" s="253" t="s">
        <v>1896</v>
      </c>
      <c r="C42" s="34">
        <v>93433.36</v>
      </c>
      <c r="D42" s="34">
        <v>86323.28</v>
      </c>
      <c r="E42" s="34">
        <v>98100</v>
      </c>
      <c r="F42" s="34">
        <v>106209</v>
      </c>
    </row>
    <row r="43" spans="1:10" x14ac:dyDescent="0.2">
      <c r="A43" s="18" t="s">
        <v>1018</v>
      </c>
      <c r="B43" s="253" t="s">
        <v>1897</v>
      </c>
      <c r="C43" s="34">
        <v>155287.4</v>
      </c>
      <c r="D43" s="34">
        <v>137108.4</v>
      </c>
      <c r="E43" s="34">
        <v>189156</v>
      </c>
      <c r="F43" s="34">
        <v>181356</v>
      </c>
    </row>
    <row r="44" spans="1:10" x14ac:dyDescent="0.2">
      <c r="A44" s="18" t="s">
        <v>1020</v>
      </c>
      <c r="B44" s="253" t="s">
        <v>1996</v>
      </c>
      <c r="C44" s="67">
        <v>0</v>
      </c>
      <c r="D44" s="67">
        <v>765.5</v>
      </c>
      <c r="E44" s="67">
        <v>800</v>
      </c>
      <c r="F44" s="67">
        <v>800</v>
      </c>
    </row>
    <row r="45" spans="1:10" x14ac:dyDescent="0.2">
      <c r="A45" s="18" t="s">
        <v>1026</v>
      </c>
      <c r="B45" s="253" t="s">
        <v>1899</v>
      </c>
      <c r="C45" s="67">
        <v>0</v>
      </c>
      <c r="D45" s="67">
        <v>-10.81</v>
      </c>
      <c r="E45" s="67">
        <v>0</v>
      </c>
      <c r="F45" s="67">
        <v>1200</v>
      </c>
    </row>
    <row r="46" spans="1:10" x14ac:dyDescent="0.2">
      <c r="A46" s="18" t="s">
        <v>1027</v>
      </c>
      <c r="B46" s="253" t="s">
        <v>2030</v>
      </c>
      <c r="C46" s="67">
        <v>0</v>
      </c>
      <c r="D46" s="67">
        <v>9458.36</v>
      </c>
      <c r="E46" s="67">
        <v>16000</v>
      </c>
      <c r="F46" s="67">
        <v>16000</v>
      </c>
    </row>
    <row r="47" spans="1:10" x14ac:dyDescent="0.2">
      <c r="A47" s="18" t="s">
        <v>313</v>
      </c>
      <c r="B47" s="253" t="s">
        <v>1900</v>
      </c>
      <c r="C47" s="67">
        <v>308.39999999999998</v>
      </c>
      <c r="D47" s="67">
        <v>591.61</v>
      </c>
      <c r="E47" s="67">
        <v>500</v>
      </c>
      <c r="F47" s="67">
        <v>500</v>
      </c>
    </row>
    <row r="48" spans="1:10" x14ac:dyDescent="0.2">
      <c r="A48" s="18" t="s">
        <v>314</v>
      </c>
      <c r="B48" s="253" t="s">
        <v>2029</v>
      </c>
      <c r="C48" s="67">
        <v>0</v>
      </c>
      <c r="D48" s="67">
        <v>3601.79</v>
      </c>
      <c r="E48" s="67">
        <v>6000</v>
      </c>
      <c r="F48" s="67">
        <v>6000</v>
      </c>
    </row>
    <row r="49" spans="1:6" x14ac:dyDescent="0.2">
      <c r="A49" s="18" t="s">
        <v>315</v>
      </c>
      <c r="B49" s="253" t="s">
        <v>1990</v>
      </c>
      <c r="C49" s="67">
        <v>0</v>
      </c>
      <c r="D49" s="67">
        <v>0</v>
      </c>
      <c r="E49" s="67">
        <v>8000</v>
      </c>
      <c r="F49" s="67">
        <v>8000</v>
      </c>
    </row>
    <row r="50" spans="1:6" x14ac:dyDescent="0.2">
      <c r="A50" s="79" t="s">
        <v>1506</v>
      </c>
      <c r="B50" s="262" t="s">
        <v>2165</v>
      </c>
      <c r="C50" s="67">
        <v>0</v>
      </c>
      <c r="D50" s="67">
        <v>0</v>
      </c>
      <c r="E50" s="67">
        <v>0</v>
      </c>
      <c r="F50" s="67">
        <v>0</v>
      </c>
    </row>
    <row r="51" spans="1:6" x14ac:dyDescent="0.2">
      <c r="A51" s="18" t="s">
        <v>316</v>
      </c>
      <c r="B51" s="253" t="s">
        <v>1901</v>
      </c>
      <c r="C51" s="67">
        <v>0</v>
      </c>
      <c r="D51" s="67">
        <v>0</v>
      </c>
      <c r="E51" s="67">
        <v>0</v>
      </c>
      <c r="F51" s="67">
        <v>0</v>
      </c>
    </row>
    <row r="52" spans="1:6" x14ac:dyDescent="0.2">
      <c r="A52" s="18" t="s">
        <v>317</v>
      </c>
      <c r="B52" s="253" t="s">
        <v>1902</v>
      </c>
      <c r="C52" s="67">
        <v>563.45000000000005</v>
      </c>
      <c r="D52" s="67">
        <v>1608.8</v>
      </c>
      <c r="E52" s="67">
        <v>2291</v>
      </c>
      <c r="F52" s="67">
        <v>2000</v>
      </c>
    </row>
    <row r="53" spans="1:6" x14ac:dyDescent="0.2">
      <c r="A53" s="18" t="s">
        <v>318</v>
      </c>
      <c r="B53" s="253" t="s">
        <v>1998</v>
      </c>
      <c r="C53" s="34">
        <v>138.63</v>
      </c>
      <c r="D53" s="34">
        <v>28343.599999999999</v>
      </c>
      <c r="E53" s="34">
        <v>31000</v>
      </c>
      <c r="F53" s="34">
        <v>30000</v>
      </c>
    </row>
    <row r="54" spans="1:6" x14ac:dyDescent="0.2">
      <c r="A54" s="18" t="s">
        <v>1694</v>
      </c>
      <c r="B54" s="253" t="s">
        <v>2166</v>
      </c>
      <c r="C54" s="34">
        <v>0</v>
      </c>
      <c r="D54" s="34">
        <v>0</v>
      </c>
      <c r="E54" s="34">
        <v>0</v>
      </c>
      <c r="F54" s="34">
        <v>0</v>
      </c>
    </row>
    <row r="55" spans="1:6" x14ac:dyDescent="0.2">
      <c r="A55" s="18" t="s">
        <v>1730</v>
      </c>
      <c r="B55" s="253" t="s">
        <v>2167</v>
      </c>
      <c r="C55" s="34">
        <v>0</v>
      </c>
      <c r="D55" s="34">
        <v>0</v>
      </c>
      <c r="E55" s="34">
        <v>0</v>
      </c>
      <c r="F55" s="34">
        <v>0</v>
      </c>
    </row>
    <row r="56" spans="1:6" x14ac:dyDescent="0.2">
      <c r="A56" s="18" t="s">
        <v>404</v>
      </c>
      <c r="B56" s="253" t="s">
        <v>2168</v>
      </c>
      <c r="C56" s="67">
        <v>0</v>
      </c>
      <c r="D56" s="67">
        <v>0</v>
      </c>
      <c r="E56" s="67">
        <v>1500</v>
      </c>
      <c r="F56" s="67">
        <v>1500</v>
      </c>
    </row>
    <row r="57" spans="1:6" x14ac:dyDescent="0.2">
      <c r="A57" s="18" t="s">
        <v>1120</v>
      </c>
      <c r="B57" s="253" t="s">
        <v>1976</v>
      </c>
      <c r="C57" s="67">
        <v>3345.21</v>
      </c>
      <c r="D57" s="67">
        <v>850.82</v>
      </c>
      <c r="E57" s="67">
        <v>2000</v>
      </c>
      <c r="F57" s="67">
        <v>2600</v>
      </c>
    </row>
    <row r="58" spans="1:6" x14ac:dyDescent="0.2">
      <c r="A58" s="18" t="s">
        <v>1507</v>
      </c>
      <c r="B58" s="253" t="s">
        <v>2169</v>
      </c>
      <c r="C58" s="67">
        <v>0</v>
      </c>
      <c r="D58" s="67">
        <v>0</v>
      </c>
      <c r="E58" s="67">
        <v>0</v>
      </c>
      <c r="F58" s="67">
        <v>0</v>
      </c>
    </row>
    <row r="59" spans="1:6" x14ac:dyDescent="0.2">
      <c r="A59" s="18" t="s">
        <v>319</v>
      </c>
      <c r="B59" s="253" t="s">
        <v>1904</v>
      </c>
      <c r="C59" s="67">
        <v>4371.99</v>
      </c>
      <c r="D59" s="67">
        <v>-2.46</v>
      </c>
      <c r="E59" s="67">
        <v>0</v>
      </c>
      <c r="F59" s="67">
        <v>1000</v>
      </c>
    </row>
    <row r="60" spans="1:6" x14ac:dyDescent="0.2">
      <c r="A60" s="18" t="s">
        <v>1505</v>
      </c>
      <c r="B60" s="253" t="s">
        <v>2005</v>
      </c>
      <c r="C60" s="67">
        <v>0</v>
      </c>
      <c r="D60" s="67">
        <v>0</v>
      </c>
      <c r="E60" s="67">
        <v>45000</v>
      </c>
      <c r="F60" s="67">
        <v>0</v>
      </c>
    </row>
    <row r="61" spans="1:6" x14ac:dyDescent="0.2">
      <c r="A61" s="18" t="s">
        <v>2322</v>
      </c>
      <c r="B61" s="253" t="s">
        <v>2317</v>
      </c>
      <c r="C61" s="67">
        <v>0</v>
      </c>
      <c r="D61" s="67">
        <v>0</v>
      </c>
      <c r="E61" s="67">
        <v>0</v>
      </c>
      <c r="F61" s="67">
        <v>7200</v>
      </c>
    </row>
    <row r="62" spans="1:6" x14ac:dyDescent="0.2">
      <c r="A62" s="18" t="s">
        <v>320</v>
      </c>
      <c r="B62" s="253" t="s">
        <v>2032</v>
      </c>
      <c r="C62" s="63">
        <v>0</v>
      </c>
      <c r="D62" s="63">
        <v>-8.73</v>
      </c>
      <c r="E62" s="63">
        <v>0</v>
      </c>
      <c r="F62" s="63">
        <v>0</v>
      </c>
    </row>
    <row r="63" spans="1:6" x14ac:dyDescent="0.2">
      <c r="A63" s="18"/>
      <c r="B63" s="6" t="s">
        <v>1099</v>
      </c>
      <c r="C63" s="69">
        <f>SUM(C36:C62)</f>
        <v>1111818.4399999997</v>
      </c>
      <c r="D63" s="69">
        <f>SUM(D36:D62)</f>
        <v>1054024.5100000002</v>
      </c>
      <c r="E63" s="69">
        <f>SUM(E36:E62)</f>
        <v>1275070</v>
      </c>
      <c r="F63" s="69">
        <f>SUM(F36:F62)</f>
        <v>1299513</v>
      </c>
    </row>
    <row r="64" spans="1:6" x14ac:dyDescent="0.2">
      <c r="A64" s="18"/>
      <c r="B64" s="4" t="s">
        <v>754</v>
      </c>
      <c r="C64" s="1" t="s">
        <v>1410</v>
      </c>
      <c r="D64" s="75" t="s">
        <v>1410</v>
      </c>
      <c r="E64" s="75" t="s">
        <v>1410</v>
      </c>
      <c r="F64" s="75" t="s">
        <v>1410</v>
      </c>
    </row>
    <row r="65" spans="1:6" x14ac:dyDescent="0.2">
      <c r="A65" s="18"/>
      <c r="B65" s="4" t="s">
        <v>719</v>
      </c>
      <c r="C65" s="1" t="s">
        <v>1410</v>
      </c>
      <c r="D65" s="75" t="s">
        <v>1410</v>
      </c>
      <c r="E65" s="75" t="s">
        <v>1410</v>
      </c>
      <c r="F65" s="75" t="s">
        <v>1410</v>
      </c>
    </row>
    <row r="66" spans="1:6" x14ac:dyDescent="0.2">
      <c r="A66" s="18"/>
      <c r="B66" s="4"/>
      <c r="C66" s="1" t="s">
        <v>1410</v>
      </c>
      <c r="D66" s="75" t="s">
        <v>1410</v>
      </c>
      <c r="E66" s="75" t="s">
        <v>1410</v>
      </c>
      <c r="F66" s="75" t="s">
        <v>1410</v>
      </c>
    </row>
    <row r="67" spans="1:6" x14ac:dyDescent="0.2">
      <c r="A67" s="18"/>
      <c r="B67" s="4" t="s">
        <v>844</v>
      </c>
      <c r="C67" s="7" t="str">
        <f>+C$4</f>
        <v>2018 ACTUAL</v>
      </c>
      <c r="D67" s="7" t="str">
        <f>+D$4</f>
        <v>2019 ACTUAL</v>
      </c>
      <c r="E67" s="7" t="str">
        <f>+E$4</f>
        <v>2020 BUDGET</v>
      </c>
      <c r="F67" s="7" t="str">
        <f>+F$4</f>
        <v>2021 BUDGET</v>
      </c>
    </row>
    <row r="68" spans="1:6" x14ac:dyDescent="0.2">
      <c r="A68" s="18"/>
      <c r="B68" s="38" t="s">
        <v>127</v>
      </c>
      <c r="C68" s="72"/>
      <c r="D68" s="72"/>
      <c r="E68" s="72"/>
      <c r="F68" s="72"/>
    </row>
    <row r="69" spans="1:6" x14ac:dyDescent="0.2">
      <c r="A69" s="18" t="s">
        <v>850</v>
      </c>
      <c r="B69" s="254" t="s">
        <v>2170</v>
      </c>
      <c r="C69" s="72">
        <v>26184.66</v>
      </c>
      <c r="D69" s="72">
        <v>27127.46</v>
      </c>
      <c r="E69" s="72">
        <v>27284</v>
      </c>
      <c r="F69" s="72">
        <v>28484</v>
      </c>
    </row>
    <row r="70" spans="1:6" x14ac:dyDescent="0.2">
      <c r="A70" s="18" t="s">
        <v>851</v>
      </c>
      <c r="B70" s="253" t="s">
        <v>1893</v>
      </c>
      <c r="C70" s="67">
        <v>417.6</v>
      </c>
      <c r="D70" s="67">
        <v>708.4</v>
      </c>
      <c r="E70" s="67">
        <v>780</v>
      </c>
      <c r="F70" s="67">
        <v>840</v>
      </c>
    </row>
    <row r="71" spans="1:6" x14ac:dyDescent="0.2">
      <c r="A71" s="18" t="s">
        <v>808</v>
      </c>
      <c r="B71" s="254" t="s">
        <v>1895</v>
      </c>
      <c r="C71" s="54">
        <v>1980.18</v>
      </c>
      <c r="D71" s="54">
        <v>2075.1799999999998</v>
      </c>
      <c r="E71" s="54">
        <v>2147</v>
      </c>
      <c r="F71" s="54">
        <v>2243</v>
      </c>
    </row>
    <row r="72" spans="1:6" x14ac:dyDescent="0.2">
      <c r="A72" s="18" t="s">
        <v>809</v>
      </c>
      <c r="B72" s="254" t="s">
        <v>1896</v>
      </c>
      <c r="C72" s="54">
        <v>3115.29</v>
      </c>
      <c r="D72" s="54">
        <v>3303.68</v>
      </c>
      <c r="E72" s="54">
        <v>3452</v>
      </c>
      <c r="F72" s="54">
        <v>3648</v>
      </c>
    </row>
    <row r="73" spans="1:6" x14ac:dyDescent="0.2">
      <c r="A73" s="18" t="s">
        <v>810</v>
      </c>
      <c r="B73" s="254" t="s">
        <v>1897</v>
      </c>
      <c r="C73" s="54">
        <v>6960</v>
      </c>
      <c r="D73" s="54">
        <v>7765</v>
      </c>
      <c r="E73" s="54">
        <v>7878</v>
      </c>
      <c r="F73" s="54">
        <v>7878</v>
      </c>
    </row>
    <row r="74" spans="1:6" x14ac:dyDescent="0.2">
      <c r="A74" s="18" t="s">
        <v>811</v>
      </c>
      <c r="B74" s="254" t="s">
        <v>1899</v>
      </c>
      <c r="C74" s="54">
        <v>0</v>
      </c>
      <c r="D74" s="54">
        <v>0</v>
      </c>
      <c r="E74" s="54">
        <v>0</v>
      </c>
      <c r="F74" s="54">
        <v>0</v>
      </c>
    </row>
    <row r="75" spans="1:6" x14ac:dyDescent="0.2">
      <c r="A75" s="18" t="s">
        <v>812</v>
      </c>
      <c r="B75" s="254" t="s">
        <v>2030</v>
      </c>
      <c r="C75" s="54">
        <v>0</v>
      </c>
      <c r="D75" s="54">
        <v>0</v>
      </c>
      <c r="E75" s="54">
        <v>0</v>
      </c>
      <c r="F75" s="54">
        <v>0</v>
      </c>
    </row>
    <row r="76" spans="1:6" x14ac:dyDescent="0.2">
      <c r="A76" s="18" t="s">
        <v>813</v>
      </c>
      <c r="B76" s="254" t="s">
        <v>1904</v>
      </c>
      <c r="C76" s="54">
        <v>0</v>
      </c>
      <c r="D76" s="54">
        <v>0</v>
      </c>
      <c r="E76" s="54">
        <v>0</v>
      </c>
      <c r="F76" s="54">
        <v>0</v>
      </c>
    </row>
    <row r="77" spans="1:6" x14ac:dyDescent="0.2">
      <c r="A77" s="18"/>
      <c r="B77" s="6" t="s">
        <v>1099</v>
      </c>
      <c r="C77" s="69">
        <f>SUM(C69:C76)</f>
        <v>38657.729999999996</v>
      </c>
      <c r="D77" s="69">
        <f>SUM(D69:D76)</f>
        <v>40979.72</v>
      </c>
      <c r="E77" s="69">
        <f>SUM(E69:E76)</f>
        <v>41541</v>
      </c>
      <c r="F77" s="69">
        <f>SUM(F69:F76)</f>
        <v>43093</v>
      </c>
    </row>
    <row r="78" spans="1:6" x14ac:dyDescent="0.2">
      <c r="A78" s="18"/>
      <c r="B78" s="6"/>
      <c r="C78" s="72"/>
      <c r="D78" s="72"/>
      <c r="E78" s="72"/>
      <c r="F78" s="72"/>
    </row>
    <row r="79" spans="1:6" ht="13.5" thickBot="1" x14ac:dyDescent="0.25">
      <c r="A79" s="18"/>
      <c r="B79" s="6" t="s">
        <v>1319</v>
      </c>
      <c r="C79" s="71">
        <f>C63+C77</f>
        <v>1150476.1699999997</v>
      </c>
      <c r="D79" s="71">
        <f>D63+D77</f>
        <v>1095004.2300000002</v>
      </c>
      <c r="E79" s="71">
        <f>E63+E77</f>
        <v>1316611</v>
      </c>
      <c r="F79" s="71">
        <f>F63+F77</f>
        <v>1342606</v>
      </c>
    </row>
    <row r="80" spans="1:6" ht="13.5" thickTop="1" x14ac:dyDescent="0.2">
      <c r="A80" s="18"/>
      <c r="B80" s="6"/>
      <c r="C80" s="15"/>
      <c r="D80" s="72"/>
      <c r="E80" s="72"/>
      <c r="F80" s="72"/>
    </row>
    <row r="81" spans="2:6" x14ac:dyDescent="0.2">
      <c r="B81" s="4" t="s">
        <v>638</v>
      </c>
    </row>
    <row r="82" spans="2:6" x14ac:dyDescent="0.2">
      <c r="B82" s="4" t="s">
        <v>719</v>
      </c>
    </row>
    <row r="83" spans="2:6" x14ac:dyDescent="0.2">
      <c r="B83" s="4" t="s">
        <v>1321</v>
      </c>
    </row>
    <row r="84" spans="2:6" x14ac:dyDescent="0.2">
      <c r="C84" s="7" t="str">
        <f>+C$4</f>
        <v>2018 ACTUAL</v>
      </c>
      <c r="D84" s="7" t="str">
        <f>+D$4</f>
        <v>2019 ACTUAL</v>
      </c>
      <c r="E84" s="7" t="str">
        <f>+E$4</f>
        <v>2020 BUDGET</v>
      </c>
      <c r="F84" s="7" t="str">
        <f>+F$4</f>
        <v>2021 BUDGET</v>
      </c>
    </row>
    <row r="85" spans="2:6" x14ac:dyDescent="0.2">
      <c r="C85" s="75"/>
      <c r="D85" s="75"/>
      <c r="E85" s="75"/>
      <c r="F85" s="75"/>
    </row>
    <row r="86" spans="2:6" x14ac:dyDescent="0.2">
      <c r="B86" t="s">
        <v>1322</v>
      </c>
      <c r="C86" s="66">
        <v>346680.0400000005</v>
      </c>
      <c r="D86" s="66">
        <f>C94</f>
        <v>466562.12000000081</v>
      </c>
      <c r="E86" s="66">
        <f>D94</f>
        <v>552936.13000000059</v>
      </c>
      <c r="F86" s="66">
        <f>E94</f>
        <v>555558.13000000059</v>
      </c>
    </row>
    <row r="87" spans="2:6" x14ac:dyDescent="0.2">
      <c r="C87" s="62"/>
    </row>
    <row r="88" spans="2:6" x14ac:dyDescent="0.2">
      <c r="B88" t="s">
        <v>1323</v>
      </c>
      <c r="C88" s="67">
        <f>C33</f>
        <v>1270358.25</v>
      </c>
      <c r="D88" s="67">
        <f>D33</f>
        <v>1181378.24</v>
      </c>
      <c r="E88" s="67">
        <f>E33</f>
        <v>1319233</v>
      </c>
      <c r="F88" s="67">
        <f>F33</f>
        <v>1276984.5946739768</v>
      </c>
    </row>
    <row r="89" spans="2:6" x14ac:dyDescent="0.2">
      <c r="C89" s="67"/>
      <c r="D89" s="67"/>
      <c r="E89" s="67"/>
      <c r="F89" s="67"/>
    </row>
    <row r="90" spans="2:6" x14ac:dyDescent="0.2">
      <c r="B90" t="s">
        <v>1324</v>
      </c>
      <c r="C90" s="67">
        <f>C79</f>
        <v>1150476.1699999997</v>
      </c>
      <c r="D90" s="67">
        <f>D79</f>
        <v>1095004.2300000002</v>
      </c>
      <c r="E90" s="67">
        <f>E79</f>
        <v>1316611</v>
      </c>
      <c r="F90" s="67">
        <f>F79</f>
        <v>1342606</v>
      </c>
    </row>
    <row r="91" spans="2:6" x14ac:dyDescent="0.2">
      <c r="C91" s="67"/>
      <c r="D91" s="67"/>
      <c r="E91" s="67"/>
      <c r="F91" s="67"/>
    </row>
    <row r="92" spans="2:6" x14ac:dyDescent="0.2">
      <c r="B92" t="s">
        <v>1325</v>
      </c>
      <c r="C92" s="63">
        <v>0</v>
      </c>
      <c r="D92" s="63">
        <v>0</v>
      </c>
      <c r="E92" s="63">
        <v>0</v>
      </c>
      <c r="F92" s="63">
        <v>0</v>
      </c>
    </row>
    <row r="93" spans="2:6" x14ac:dyDescent="0.2">
      <c r="C93" s="62"/>
    </row>
    <row r="94" spans="2:6" ht="13.5" thickBot="1" x14ac:dyDescent="0.25">
      <c r="B94" t="s">
        <v>1326</v>
      </c>
      <c r="C94" s="71">
        <f>C86+C88-C90+C92</f>
        <v>466562.12000000081</v>
      </c>
      <c r="D94" s="71">
        <f>D86+D88-D90+D92</f>
        <v>552936.13000000059</v>
      </c>
      <c r="E94" s="71">
        <f>E86+E88-E90+E92</f>
        <v>555558.13000000059</v>
      </c>
      <c r="F94" s="71">
        <f>F86+F88-F90+F92</f>
        <v>489936.72467397735</v>
      </c>
    </row>
    <row r="95" spans="2:6" ht="13.5" thickTop="1" x14ac:dyDescent="0.2"/>
    <row r="96" spans="2:6" x14ac:dyDescent="0.2">
      <c r="C96" s="10"/>
      <c r="D96" s="67"/>
    </row>
  </sheetData>
  <phoneticPr fontId="2" type="noConversion"/>
  <pageMargins left="0.5" right="0.5" top="0.75" bottom="0.75" header="0.5" footer="0.5"/>
  <pageSetup scale="85" firstPageNumber="37" orientation="portrait" useFirstPageNumber="1" r:id="rId1"/>
  <headerFooter alignWithMargins="0">
    <oddFooter>&amp;C&amp;P</oddFooter>
  </headerFooter>
  <rowBreaks count="1" manualBreakCount="1">
    <brk id="63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N120"/>
  <sheetViews>
    <sheetView zoomScaleNormal="100" workbookViewId="0"/>
  </sheetViews>
  <sheetFormatPr defaultRowHeight="12.75" x14ac:dyDescent="0.2"/>
  <cols>
    <col min="1" max="1" width="14.85546875" bestFit="1" customWidth="1"/>
    <col min="2" max="2" width="40" customWidth="1"/>
    <col min="3" max="3" width="13.28515625" customWidth="1"/>
    <col min="4" max="6" width="13.28515625" style="62" customWidth="1"/>
    <col min="9" max="9" width="11.28515625" bestFit="1" customWidth="1"/>
    <col min="10" max="10" width="11.85546875" bestFit="1" customWidth="1"/>
    <col min="11" max="12" width="10.28515625" bestFit="1" customWidth="1"/>
    <col min="13" max="13" width="10.85546875" bestFit="1" customWidth="1"/>
    <col min="14" max="14" width="11.28515625" bestFit="1" customWidth="1"/>
  </cols>
  <sheetData>
    <row r="1" spans="1:6" x14ac:dyDescent="0.2">
      <c r="A1" s="18" t="s">
        <v>1410</v>
      </c>
      <c r="B1" s="4" t="s">
        <v>754</v>
      </c>
      <c r="C1" s="1" t="s">
        <v>1410</v>
      </c>
      <c r="D1" s="75" t="s">
        <v>1410</v>
      </c>
      <c r="E1" s="75" t="s">
        <v>1410</v>
      </c>
      <c r="F1" s="75" t="s">
        <v>1410</v>
      </c>
    </row>
    <row r="2" spans="1:6" x14ac:dyDescent="0.2">
      <c r="A2" s="18"/>
      <c r="B2" s="4" t="s">
        <v>1106</v>
      </c>
      <c r="C2" s="1" t="s">
        <v>1410</v>
      </c>
      <c r="D2" s="75" t="s">
        <v>1410</v>
      </c>
      <c r="E2" s="75" t="s">
        <v>1410</v>
      </c>
      <c r="F2" s="75" t="s">
        <v>1410</v>
      </c>
    </row>
    <row r="3" spans="1:6" x14ac:dyDescent="0.2">
      <c r="A3" s="18"/>
      <c r="B3" s="4"/>
      <c r="C3" s="1" t="s">
        <v>1410</v>
      </c>
      <c r="D3" s="75" t="s">
        <v>1410</v>
      </c>
      <c r="E3" s="75" t="s">
        <v>1410</v>
      </c>
      <c r="F3" s="75" t="s">
        <v>1410</v>
      </c>
    </row>
    <row r="4" spans="1:6" x14ac:dyDescent="0.2">
      <c r="A4" s="18"/>
      <c r="B4" s="4" t="s">
        <v>299</v>
      </c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6" x14ac:dyDescent="0.2">
      <c r="A5" s="18" t="s">
        <v>978</v>
      </c>
      <c r="B5" s="4" t="s">
        <v>755</v>
      </c>
      <c r="C5" s="62"/>
    </row>
    <row r="6" spans="1:6" x14ac:dyDescent="0.2">
      <c r="A6" s="18" t="s">
        <v>1154</v>
      </c>
      <c r="B6" s="253" t="s">
        <v>2171</v>
      </c>
      <c r="C6" s="66">
        <v>0</v>
      </c>
      <c r="D6" s="66">
        <v>0</v>
      </c>
      <c r="E6" s="66">
        <v>0</v>
      </c>
      <c r="F6" s="66">
        <v>0</v>
      </c>
    </row>
    <row r="7" spans="1:6" x14ac:dyDescent="0.2">
      <c r="A7" s="18" t="s">
        <v>1151</v>
      </c>
      <c r="B7" s="253" t="s">
        <v>2172</v>
      </c>
      <c r="C7" s="81">
        <v>524993</v>
      </c>
      <c r="D7" s="81">
        <v>523915</v>
      </c>
      <c r="E7" s="81">
        <v>530685</v>
      </c>
      <c r="F7" s="81">
        <v>527989</v>
      </c>
    </row>
    <row r="8" spans="1:6" x14ac:dyDescent="0.2">
      <c r="A8" s="18" t="s">
        <v>425</v>
      </c>
      <c r="B8" s="253" t="s">
        <v>2173</v>
      </c>
      <c r="C8" s="67">
        <v>0</v>
      </c>
      <c r="D8" s="67">
        <v>0</v>
      </c>
      <c r="E8" s="67">
        <v>0</v>
      </c>
      <c r="F8" s="67">
        <v>0</v>
      </c>
    </row>
    <row r="9" spans="1:6" x14ac:dyDescent="0.2">
      <c r="A9" s="18" t="s">
        <v>1152</v>
      </c>
      <c r="B9" s="253" t="s">
        <v>2174</v>
      </c>
      <c r="C9" s="67">
        <v>0</v>
      </c>
      <c r="D9" s="67">
        <v>0</v>
      </c>
      <c r="E9" s="67">
        <v>0</v>
      </c>
      <c r="F9" s="67">
        <v>0</v>
      </c>
    </row>
    <row r="10" spans="1:6" ht="12.75" customHeight="1" x14ac:dyDescent="0.2">
      <c r="A10" s="18" t="s">
        <v>426</v>
      </c>
      <c r="B10" s="253" t="s">
        <v>2175</v>
      </c>
      <c r="C10" s="67">
        <v>0</v>
      </c>
      <c r="D10" s="67">
        <v>0</v>
      </c>
      <c r="E10" s="67">
        <v>0</v>
      </c>
      <c r="F10" s="67">
        <v>0</v>
      </c>
    </row>
    <row r="11" spans="1:6" x14ac:dyDescent="0.2">
      <c r="A11" s="18" t="s">
        <v>1153</v>
      </c>
      <c r="B11" s="253" t="s">
        <v>2176</v>
      </c>
      <c r="C11" s="67">
        <v>0</v>
      </c>
      <c r="D11" s="67">
        <v>0</v>
      </c>
      <c r="E11" s="67">
        <v>0</v>
      </c>
      <c r="F11" s="67">
        <v>0</v>
      </c>
    </row>
    <row r="12" spans="1:6" x14ac:dyDescent="0.2">
      <c r="A12" s="129" t="s">
        <v>1562</v>
      </c>
      <c r="B12" s="254" t="s">
        <v>2177</v>
      </c>
      <c r="C12" s="67">
        <v>6500</v>
      </c>
      <c r="D12" s="67">
        <v>6500</v>
      </c>
      <c r="E12" s="67">
        <v>0</v>
      </c>
      <c r="F12" s="67">
        <v>0</v>
      </c>
    </row>
    <row r="13" spans="1:6" ht="13.15" customHeight="1" x14ac:dyDescent="0.2">
      <c r="A13" s="18" t="s">
        <v>1028</v>
      </c>
      <c r="B13" s="253" t="s">
        <v>2178</v>
      </c>
      <c r="C13" s="67">
        <v>0</v>
      </c>
      <c r="D13" s="67">
        <v>0</v>
      </c>
      <c r="E13" s="67">
        <v>0</v>
      </c>
      <c r="F13" s="67">
        <v>0</v>
      </c>
    </row>
    <row r="14" spans="1:6" ht="13.15" customHeight="1" x14ac:dyDescent="0.2">
      <c r="A14" s="18" t="s">
        <v>1697</v>
      </c>
      <c r="B14" s="253" t="s">
        <v>2179</v>
      </c>
      <c r="C14" s="67">
        <v>11560</v>
      </c>
      <c r="D14" s="67">
        <v>874.29</v>
      </c>
      <c r="E14" s="67">
        <v>0</v>
      </c>
      <c r="F14" s="67">
        <v>5108.8</v>
      </c>
    </row>
    <row r="15" spans="1:6" ht="13.15" customHeight="1" x14ac:dyDescent="0.2">
      <c r="A15" s="18" t="s">
        <v>172</v>
      </c>
      <c r="B15" s="253" t="s">
        <v>127</v>
      </c>
      <c r="C15" s="67">
        <v>0</v>
      </c>
      <c r="D15" s="67">
        <v>0</v>
      </c>
      <c r="E15" s="67">
        <v>0</v>
      </c>
      <c r="F15" s="67">
        <v>0</v>
      </c>
    </row>
    <row r="16" spans="1:6" x14ac:dyDescent="0.2">
      <c r="A16" s="18" t="s">
        <v>1155</v>
      </c>
      <c r="B16" s="253" t="s">
        <v>2180</v>
      </c>
      <c r="C16" s="67">
        <v>0</v>
      </c>
      <c r="D16" s="67">
        <v>0</v>
      </c>
      <c r="E16" s="67">
        <v>0</v>
      </c>
      <c r="F16" s="67">
        <v>0</v>
      </c>
    </row>
    <row r="17" spans="1:14" x14ac:dyDescent="0.2">
      <c r="A17" s="18" t="s">
        <v>427</v>
      </c>
      <c r="B17" s="253" t="s">
        <v>1746</v>
      </c>
      <c r="C17" s="63">
        <v>0.32</v>
      </c>
      <c r="D17" s="63">
        <v>110.29</v>
      </c>
      <c r="E17" s="63">
        <v>0</v>
      </c>
      <c r="F17" s="63">
        <v>0</v>
      </c>
    </row>
    <row r="18" spans="1:14" x14ac:dyDescent="0.2">
      <c r="A18" s="18"/>
      <c r="B18" s="6" t="s">
        <v>1099</v>
      </c>
      <c r="C18" s="69">
        <f>SUM(C6:C17)</f>
        <v>543053.31999999995</v>
      </c>
      <c r="D18" s="69">
        <f>SUM(D6:D17)</f>
        <v>531399.58000000007</v>
      </c>
      <c r="E18" s="69">
        <f>SUM(E6:E17)</f>
        <v>530685</v>
      </c>
      <c r="F18" s="69">
        <f>SUM(F6:F17)</f>
        <v>533097.80000000005</v>
      </c>
    </row>
    <row r="19" spans="1:14" x14ac:dyDescent="0.2">
      <c r="C19" s="62"/>
    </row>
    <row r="20" spans="1:14" ht="13.5" thickBot="1" x14ac:dyDescent="0.25">
      <c r="A20" s="18"/>
      <c r="B20" s="6" t="s">
        <v>129</v>
      </c>
      <c r="C20" s="71">
        <f>SUM(C18)</f>
        <v>543053.31999999995</v>
      </c>
      <c r="D20" s="71">
        <f>SUM(D18)</f>
        <v>531399.58000000007</v>
      </c>
      <c r="E20" s="71">
        <f>SUM(E18)</f>
        <v>530685</v>
      </c>
      <c r="F20" s="71">
        <f>SUM(F18)</f>
        <v>533097.80000000005</v>
      </c>
    </row>
    <row r="21" spans="1:14" ht="13.5" thickTop="1" x14ac:dyDescent="0.2">
      <c r="A21" s="18"/>
      <c r="B21" s="6"/>
      <c r="C21" s="72"/>
      <c r="D21" s="72"/>
      <c r="E21" s="72"/>
      <c r="F21" s="72"/>
    </row>
    <row r="22" spans="1:14" x14ac:dyDescent="0.2">
      <c r="A22" s="18"/>
      <c r="B22" s="4" t="s">
        <v>844</v>
      </c>
      <c r="C22" s="97"/>
      <c r="D22" s="97"/>
      <c r="E22" s="97"/>
      <c r="F22" s="97"/>
    </row>
    <row r="23" spans="1:14" x14ac:dyDescent="0.2">
      <c r="A23" s="18" t="s">
        <v>173</v>
      </c>
      <c r="B23" s="4" t="s">
        <v>123</v>
      </c>
      <c r="C23" s="62"/>
    </row>
    <row r="24" spans="1:14" x14ac:dyDescent="0.2">
      <c r="A24" s="18" t="s">
        <v>1108</v>
      </c>
      <c r="B24" s="253" t="s">
        <v>2164</v>
      </c>
      <c r="C24" s="66">
        <v>0</v>
      </c>
      <c r="D24" s="66">
        <v>0</v>
      </c>
      <c r="E24" s="66">
        <v>0</v>
      </c>
      <c r="F24" s="66">
        <v>0</v>
      </c>
    </row>
    <row r="25" spans="1:14" x14ac:dyDescent="0.2">
      <c r="A25" s="18" t="s">
        <v>1107</v>
      </c>
      <c r="B25" s="253" t="s">
        <v>2181</v>
      </c>
      <c r="C25" s="81">
        <v>260985.32</v>
      </c>
      <c r="D25" s="81">
        <v>306750.94</v>
      </c>
      <c r="E25" s="81">
        <v>320705</v>
      </c>
      <c r="F25" s="81">
        <v>319403</v>
      </c>
    </row>
    <row r="26" spans="1:14" x14ac:dyDescent="0.2">
      <c r="A26" s="18" t="s">
        <v>1021</v>
      </c>
      <c r="B26" s="254" t="s">
        <v>2182</v>
      </c>
      <c r="C26" s="67">
        <v>0</v>
      </c>
      <c r="D26" s="67">
        <v>0</v>
      </c>
      <c r="E26" s="67">
        <v>0</v>
      </c>
      <c r="F26" s="67">
        <v>0</v>
      </c>
    </row>
    <row r="27" spans="1:14" x14ac:dyDescent="0.2">
      <c r="A27" s="18" t="s">
        <v>1508</v>
      </c>
      <c r="B27" s="254" t="s">
        <v>2183</v>
      </c>
      <c r="C27" s="67">
        <v>1934.5</v>
      </c>
      <c r="D27" s="67">
        <v>4670.5</v>
      </c>
      <c r="E27" s="67">
        <v>3840</v>
      </c>
      <c r="F27" s="67">
        <v>4500</v>
      </c>
    </row>
    <row r="28" spans="1:14" x14ac:dyDescent="0.2">
      <c r="A28" s="18" t="s">
        <v>657</v>
      </c>
      <c r="B28" s="254" t="s">
        <v>1961</v>
      </c>
      <c r="C28" s="67">
        <v>15107.37</v>
      </c>
      <c r="D28" s="67">
        <v>17191.62</v>
      </c>
      <c r="E28" s="67">
        <v>18000</v>
      </c>
      <c r="F28" s="67">
        <v>18000</v>
      </c>
      <c r="H28" s="5"/>
      <c r="I28" s="5"/>
      <c r="J28" s="5"/>
      <c r="K28" s="5"/>
      <c r="L28" s="5"/>
      <c r="M28" s="5"/>
    </row>
    <row r="29" spans="1:14" x14ac:dyDescent="0.2">
      <c r="A29" s="18" t="s">
        <v>1109</v>
      </c>
      <c r="B29" s="253" t="s">
        <v>1895</v>
      </c>
      <c r="C29" s="67">
        <v>20277.95</v>
      </c>
      <c r="D29" s="67">
        <v>23938.17</v>
      </c>
      <c r="E29" s="67">
        <v>26205</v>
      </c>
      <c r="F29" s="67">
        <v>26155</v>
      </c>
      <c r="K29" s="10"/>
      <c r="L29" s="10"/>
      <c r="M29" s="10"/>
    </row>
    <row r="30" spans="1:14" x14ac:dyDescent="0.2">
      <c r="A30" s="18" t="s">
        <v>1110</v>
      </c>
      <c r="B30" s="253" t="s">
        <v>1896</v>
      </c>
      <c r="C30" s="67">
        <v>32431.4</v>
      </c>
      <c r="D30" s="67">
        <v>38964.629999999997</v>
      </c>
      <c r="E30" s="67">
        <v>42133</v>
      </c>
      <c r="F30" s="67">
        <v>42533</v>
      </c>
      <c r="J30" s="10"/>
    </row>
    <row r="31" spans="1:14" x14ac:dyDescent="0.2">
      <c r="A31" s="18" t="s">
        <v>1111</v>
      </c>
      <c r="B31" s="253" t="s">
        <v>1897</v>
      </c>
      <c r="C31" s="67">
        <v>32569.46</v>
      </c>
      <c r="D31" s="67">
        <v>54719.14</v>
      </c>
      <c r="E31" s="67">
        <v>47347</v>
      </c>
      <c r="F31" s="67">
        <f>46800+548</f>
        <v>47348</v>
      </c>
      <c r="G31" s="9"/>
      <c r="J31" s="9"/>
      <c r="N31" s="5"/>
    </row>
    <row r="32" spans="1:14" x14ac:dyDescent="0.2">
      <c r="A32" s="18" t="s">
        <v>1112</v>
      </c>
      <c r="B32" s="253" t="s">
        <v>1899</v>
      </c>
      <c r="C32" s="67">
        <v>4099.96</v>
      </c>
      <c r="D32" s="67">
        <v>3174.66</v>
      </c>
      <c r="E32" s="67">
        <v>0</v>
      </c>
      <c r="F32" s="67">
        <v>0</v>
      </c>
    </row>
    <row r="33" spans="1:14" x14ac:dyDescent="0.2">
      <c r="A33" s="18" t="s">
        <v>1665</v>
      </c>
      <c r="B33" s="253" t="s">
        <v>2030</v>
      </c>
      <c r="C33" s="67">
        <v>38135.72</v>
      </c>
      <c r="D33" s="67">
        <v>32319.55</v>
      </c>
      <c r="E33" s="67">
        <v>19348</v>
      </c>
      <c r="F33" s="67">
        <v>25266</v>
      </c>
    </row>
    <row r="34" spans="1:14" x14ac:dyDescent="0.2">
      <c r="A34" s="18" t="s">
        <v>1666</v>
      </c>
      <c r="B34" s="253" t="s">
        <v>2029</v>
      </c>
      <c r="C34" s="67">
        <v>42299.08</v>
      </c>
      <c r="D34" s="67">
        <v>12150.58</v>
      </c>
      <c r="E34" s="67">
        <v>7786</v>
      </c>
      <c r="F34" s="67">
        <v>10000</v>
      </c>
      <c r="I34" s="209"/>
      <c r="J34" s="209"/>
      <c r="K34" s="209"/>
      <c r="L34" s="209"/>
      <c r="M34" s="209"/>
      <c r="N34" s="209"/>
    </row>
    <row r="35" spans="1:14" x14ac:dyDescent="0.2">
      <c r="A35" s="18" t="s">
        <v>1631</v>
      </c>
      <c r="B35" s="253" t="s">
        <v>1990</v>
      </c>
      <c r="C35" s="67">
        <v>8000</v>
      </c>
      <c r="D35" s="67">
        <v>0</v>
      </c>
      <c r="E35" s="67">
        <v>0</v>
      </c>
      <c r="F35" s="67">
        <v>0</v>
      </c>
      <c r="I35" s="209"/>
      <c r="J35" s="209"/>
      <c r="K35" s="209"/>
      <c r="L35" s="209"/>
      <c r="M35" s="209"/>
      <c r="N35" s="209"/>
    </row>
    <row r="36" spans="1:14" x14ac:dyDescent="0.2">
      <c r="A36" s="18" t="s">
        <v>1025</v>
      </c>
      <c r="B36" s="254" t="s">
        <v>2184</v>
      </c>
      <c r="C36" s="67">
        <v>2041.43</v>
      </c>
      <c r="D36" s="67">
        <v>2270</v>
      </c>
      <c r="E36" s="67">
        <v>1000</v>
      </c>
      <c r="F36" s="67">
        <v>2000</v>
      </c>
      <c r="I36" s="209"/>
      <c r="J36" s="209"/>
      <c r="K36" s="209"/>
      <c r="L36" s="209"/>
      <c r="M36" s="209"/>
      <c r="N36" s="209"/>
    </row>
    <row r="37" spans="1:14" x14ac:dyDescent="0.2">
      <c r="A37" s="18" t="s">
        <v>1113</v>
      </c>
      <c r="B37" s="253" t="s">
        <v>1902</v>
      </c>
      <c r="C37" s="54">
        <v>9616.06</v>
      </c>
      <c r="D37" s="54">
        <v>7576.32</v>
      </c>
      <c r="E37" s="54">
        <v>6289</v>
      </c>
      <c r="F37" s="54">
        <v>3000</v>
      </c>
      <c r="I37" s="209"/>
      <c r="J37" s="209"/>
      <c r="K37" s="209"/>
      <c r="L37" s="209"/>
      <c r="M37" s="209"/>
      <c r="N37" s="209"/>
    </row>
    <row r="38" spans="1:14" x14ac:dyDescent="0.2">
      <c r="A38" s="18" t="s">
        <v>1661</v>
      </c>
      <c r="B38" s="253" t="s">
        <v>2169</v>
      </c>
      <c r="C38" s="54">
        <v>1606.74</v>
      </c>
      <c r="D38" s="54">
        <v>4547.76</v>
      </c>
      <c r="E38" s="54">
        <v>2500</v>
      </c>
      <c r="F38" s="54">
        <v>1000</v>
      </c>
      <c r="J38" s="210"/>
    </row>
    <row r="39" spans="1:14" x14ac:dyDescent="0.2">
      <c r="A39" s="18" t="s">
        <v>1114</v>
      </c>
      <c r="B39" s="253" t="s">
        <v>1904</v>
      </c>
      <c r="C39" s="54">
        <v>10258.01</v>
      </c>
      <c r="D39" s="54">
        <v>3576.1</v>
      </c>
      <c r="E39" s="54">
        <v>2750</v>
      </c>
      <c r="F39" s="54">
        <v>3000</v>
      </c>
    </row>
    <row r="40" spans="1:14" x14ac:dyDescent="0.2">
      <c r="A40" s="129" t="s">
        <v>1669</v>
      </c>
      <c r="B40" s="253" t="s">
        <v>2032</v>
      </c>
      <c r="C40" s="54">
        <v>0</v>
      </c>
      <c r="D40" s="54">
        <v>0</v>
      </c>
      <c r="E40" s="54">
        <v>0</v>
      </c>
      <c r="F40" s="54">
        <v>0</v>
      </c>
      <c r="I40" s="5"/>
    </row>
    <row r="41" spans="1:14" x14ac:dyDescent="0.2">
      <c r="A41" s="129" t="s">
        <v>1670</v>
      </c>
      <c r="B41" s="254" t="s">
        <v>2185</v>
      </c>
      <c r="C41" s="54">
        <v>45630</v>
      </c>
      <c r="D41" s="54">
        <v>12065</v>
      </c>
      <c r="E41" s="54">
        <v>32782</v>
      </c>
      <c r="F41" s="54">
        <v>25784</v>
      </c>
      <c r="J41" s="9"/>
    </row>
    <row r="42" spans="1:14" x14ac:dyDescent="0.2">
      <c r="A42" s="18" t="s">
        <v>1664</v>
      </c>
      <c r="B42" s="253" t="s">
        <v>2186</v>
      </c>
      <c r="C42" s="63">
        <v>0</v>
      </c>
      <c r="D42" s="63">
        <v>0</v>
      </c>
      <c r="E42" s="63">
        <v>0</v>
      </c>
      <c r="F42" s="63">
        <v>0</v>
      </c>
    </row>
    <row r="43" spans="1:14" x14ac:dyDescent="0.2">
      <c r="A43" s="18"/>
      <c r="B43" s="6" t="s">
        <v>1099</v>
      </c>
      <c r="C43" s="87">
        <f>SUM(C24:C42)</f>
        <v>524993</v>
      </c>
      <c r="D43" s="69">
        <f>SUM(D24:D42)</f>
        <v>523914.97</v>
      </c>
      <c r="E43" s="69">
        <f>SUM(E24:E42)</f>
        <v>530685</v>
      </c>
      <c r="F43" s="69">
        <f>SUM(F24:F42)</f>
        <v>527989</v>
      </c>
    </row>
    <row r="44" spans="1:14" x14ac:dyDescent="0.2">
      <c r="A44" s="18"/>
      <c r="B44" s="6"/>
      <c r="C44" s="66"/>
      <c r="D44" s="66"/>
      <c r="E44" s="66"/>
      <c r="F44" s="66"/>
    </row>
    <row r="45" spans="1:14" x14ac:dyDescent="0.2">
      <c r="A45" s="129" t="s">
        <v>1563</v>
      </c>
      <c r="B45" s="6" t="s">
        <v>1565</v>
      </c>
      <c r="C45" s="66"/>
      <c r="D45" s="66"/>
      <c r="E45" s="66"/>
      <c r="F45" s="66"/>
    </row>
    <row r="46" spans="1:14" x14ac:dyDescent="0.2">
      <c r="A46" s="129" t="s">
        <v>1564</v>
      </c>
      <c r="B46" s="269" t="s">
        <v>1566</v>
      </c>
      <c r="C46" s="73">
        <v>6500</v>
      </c>
      <c r="D46" s="73">
        <v>6500</v>
      </c>
      <c r="E46" s="73">
        <v>0</v>
      </c>
      <c r="F46" s="73">
        <v>0</v>
      </c>
    </row>
    <row r="47" spans="1:14" x14ac:dyDescent="0.2">
      <c r="A47" s="129"/>
      <c r="B47" s="6" t="s">
        <v>1099</v>
      </c>
      <c r="C47" s="69">
        <f>SUM(C46)</f>
        <v>6500</v>
      </c>
      <c r="D47" s="69">
        <f>SUM(D46)</f>
        <v>6500</v>
      </c>
      <c r="E47" s="69">
        <f>SUM(E46)</f>
        <v>0</v>
      </c>
      <c r="F47" s="69">
        <f>SUM(F46)</f>
        <v>0</v>
      </c>
    </row>
    <row r="48" spans="1:14" x14ac:dyDescent="0.2">
      <c r="A48" s="18"/>
      <c r="B48" s="6"/>
      <c r="C48" s="66"/>
      <c r="D48" s="66"/>
      <c r="E48" s="66"/>
      <c r="F48" s="66"/>
    </row>
    <row r="49" spans="1:6" x14ac:dyDescent="0.2">
      <c r="A49" s="18" t="s">
        <v>1029</v>
      </c>
      <c r="B49" s="31" t="s">
        <v>1156</v>
      </c>
      <c r="C49" s="66"/>
      <c r="D49" s="66"/>
      <c r="E49" s="66"/>
      <c r="F49" s="66"/>
    </row>
    <row r="50" spans="1:6" x14ac:dyDescent="0.2">
      <c r="A50" s="129" t="s">
        <v>1030</v>
      </c>
      <c r="B50" s="254" t="s">
        <v>2184</v>
      </c>
      <c r="C50" s="66">
        <v>0</v>
      </c>
      <c r="D50" s="66">
        <v>0</v>
      </c>
      <c r="E50" s="66">
        <v>0</v>
      </c>
      <c r="F50" s="66">
        <v>0</v>
      </c>
    </row>
    <row r="51" spans="1:6" x14ac:dyDescent="0.2">
      <c r="A51" s="129" t="s">
        <v>1031</v>
      </c>
      <c r="B51" s="253" t="s">
        <v>2032</v>
      </c>
      <c r="C51" s="54">
        <v>0</v>
      </c>
      <c r="D51" s="54">
        <v>0</v>
      </c>
      <c r="E51" s="54">
        <v>0</v>
      </c>
      <c r="F51" s="54">
        <v>0</v>
      </c>
    </row>
    <row r="52" spans="1:6" x14ac:dyDescent="0.2">
      <c r="A52" s="18" t="s">
        <v>1032</v>
      </c>
      <c r="B52" s="254" t="s">
        <v>2187</v>
      </c>
      <c r="C52" s="67">
        <v>0</v>
      </c>
      <c r="D52" s="67">
        <v>0</v>
      </c>
      <c r="E52" s="67">
        <v>0</v>
      </c>
      <c r="F52" s="67">
        <v>0</v>
      </c>
    </row>
    <row r="53" spans="1:6" x14ac:dyDescent="0.2">
      <c r="A53" s="18"/>
      <c r="B53" s="6" t="s">
        <v>1099</v>
      </c>
      <c r="C53" s="69">
        <f>SUM(C50:C52)</f>
        <v>0</v>
      </c>
      <c r="D53" s="69">
        <f>SUM(D50:D52)</f>
        <v>0</v>
      </c>
      <c r="E53" s="69">
        <f>SUM(E50:E52)</f>
        <v>0</v>
      </c>
      <c r="F53" s="69">
        <f>SUM(F50:F52)</f>
        <v>0</v>
      </c>
    </row>
    <row r="54" spans="1:6" x14ac:dyDescent="0.2">
      <c r="A54" s="18"/>
      <c r="B54" s="6"/>
      <c r="C54" s="66"/>
      <c r="D54" s="66"/>
      <c r="E54" s="66"/>
      <c r="F54" s="66"/>
    </row>
    <row r="55" spans="1:6" x14ac:dyDescent="0.2">
      <c r="A55" s="18" t="s">
        <v>1695</v>
      </c>
      <c r="B55" s="31" t="s">
        <v>1696</v>
      </c>
      <c r="C55" s="66"/>
      <c r="D55" s="66"/>
      <c r="E55" s="66"/>
      <c r="F55" s="66"/>
    </row>
    <row r="56" spans="1:6" x14ac:dyDescent="0.2">
      <c r="A56" s="18" t="s">
        <v>1717</v>
      </c>
      <c r="B56" s="265" t="s">
        <v>2188</v>
      </c>
      <c r="C56" s="66">
        <v>0</v>
      </c>
      <c r="D56" s="66">
        <v>0</v>
      </c>
      <c r="E56" s="66">
        <v>0</v>
      </c>
      <c r="F56" s="66">
        <v>0</v>
      </c>
    </row>
    <row r="57" spans="1:6" x14ac:dyDescent="0.2">
      <c r="A57" s="61" t="s">
        <v>1795</v>
      </c>
      <c r="B57" s="265" t="s">
        <v>2189</v>
      </c>
      <c r="C57" s="66">
        <v>7474.29</v>
      </c>
      <c r="D57" s="54">
        <v>4960</v>
      </c>
      <c r="E57" s="54">
        <v>0</v>
      </c>
      <c r="F57" s="54">
        <v>5108.8</v>
      </c>
    </row>
    <row r="58" spans="1:6" x14ac:dyDescent="0.2">
      <c r="A58" s="18"/>
      <c r="B58" s="6" t="s">
        <v>1099</v>
      </c>
      <c r="C58" s="69">
        <f t="shared" ref="C58:E58" si="0">SUM(C56:C57)</f>
        <v>7474.29</v>
      </c>
      <c r="D58" s="69">
        <f t="shared" si="0"/>
        <v>4960</v>
      </c>
      <c r="E58" s="69">
        <f t="shared" si="0"/>
        <v>0</v>
      </c>
      <c r="F58" s="69">
        <f t="shared" ref="F58" si="1">SUM(F56:F57)</f>
        <v>5108.8</v>
      </c>
    </row>
    <row r="59" spans="1:6" x14ac:dyDescent="0.2">
      <c r="A59" s="18"/>
      <c r="B59" s="4" t="s">
        <v>638</v>
      </c>
      <c r="C59" s="72"/>
      <c r="D59" s="72"/>
      <c r="E59" s="72"/>
      <c r="F59" s="72"/>
    </row>
    <row r="60" spans="1:6" x14ac:dyDescent="0.2">
      <c r="A60" s="18"/>
      <c r="B60" s="4" t="s">
        <v>1106</v>
      </c>
      <c r="C60" s="72"/>
      <c r="D60" s="72"/>
      <c r="E60" s="72"/>
      <c r="F60" s="72"/>
    </row>
    <row r="61" spans="1:6" x14ac:dyDescent="0.2">
      <c r="A61" s="18"/>
      <c r="B61" s="4" t="s">
        <v>844</v>
      </c>
      <c r="C61" s="77" t="str">
        <f>+C4</f>
        <v>2018 ACTUAL</v>
      </c>
      <c r="D61" s="77" t="str">
        <f>+D4</f>
        <v>2019 ACTUAL</v>
      </c>
      <c r="E61" s="77" t="str">
        <f>+E4</f>
        <v>2020 BUDGET</v>
      </c>
      <c r="F61" s="77" t="str">
        <f>+F4</f>
        <v>2021 BUDGET</v>
      </c>
    </row>
    <row r="62" spans="1:6" x14ac:dyDescent="0.2">
      <c r="A62" s="18"/>
      <c r="B62" s="6"/>
      <c r="C62" s="72"/>
      <c r="D62" s="72"/>
      <c r="E62" s="72"/>
      <c r="F62" s="72"/>
    </row>
    <row r="63" spans="1:6" x14ac:dyDescent="0.2">
      <c r="A63" s="18" t="s">
        <v>1115</v>
      </c>
      <c r="B63" s="4" t="s">
        <v>124</v>
      </c>
    </row>
    <row r="64" spans="1:6" x14ac:dyDescent="0.2">
      <c r="A64" s="18" t="s">
        <v>1116</v>
      </c>
      <c r="B64" s="253" t="s">
        <v>2190</v>
      </c>
      <c r="C64" s="66">
        <v>0</v>
      </c>
      <c r="D64" s="66">
        <v>0</v>
      </c>
      <c r="E64" s="66">
        <v>0</v>
      </c>
      <c r="F64" s="66">
        <v>0</v>
      </c>
    </row>
    <row r="65" spans="1:6" x14ac:dyDescent="0.2">
      <c r="A65" s="18"/>
      <c r="B65" s="6" t="s">
        <v>1099</v>
      </c>
      <c r="C65" s="69">
        <f>SUM(C64:C64)</f>
        <v>0</v>
      </c>
      <c r="D65" s="69">
        <f>SUM(D64:D64)</f>
        <v>0</v>
      </c>
      <c r="E65" s="69">
        <f>SUM(E64:E64)</f>
        <v>0</v>
      </c>
      <c r="F65" s="69">
        <f>SUM(F64:F64)</f>
        <v>0</v>
      </c>
    </row>
    <row r="66" spans="1:6" x14ac:dyDescent="0.2">
      <c r="A66" s="18"/>
      <c r="B66" s="6"/>
      <c r="C66" s="72"/>
      <c r="D66" s="72"/>
      <c r="E66" s="72"/>
      <c r="F66" s="72"/>
    </row>
    <row r="67" spans="1:6" x14ac:dyDescent="0.2">
      <c r="A67" s="18" t="s">
        <v>307</v>
      </c>
      <c r="B67" s="4" t="s">
        <v>954</v>
      </c>
      <c r="C67" s="62"/>
    </row>
    <row r="68" spans="1:6" x14ac:dyDescent="0.2">
      <c r="A68" s="18" t="s">
        <v>308</v>
      </c>
      <c r="B68" s="253" t="s">
        <v>2165</v>
      </c>
      <c r="C68" s="73">
        <v>0</v>
      </c>
      <c r="D68" s="73">
        <v>0</v>
      </c>
      <c r="E68" s="73">
        <v>0</v>
      </c>
      <c r="F68" s="73">
        <v>0</v>
      </c>
    </row>
    <row r="69" spans="1:6" x14ac:dyDescent="0.2">
      <c r="A69" s="18"/>
      <c r="B69" s="6" t="s">
        <v>1099</v>
      </c>
      <c r="C69" s="69">
        <f>SUM(C68:C68)</f>
        <v>0</v>
      </c>
      <c r="D69" s="69">
        <f>SUM(D68:D68)</f>
        <v>0</v>
      </c>
      <c r="E69" s="69">
        <f>SUM(E68:E68)</f>
        <v>0</v>
      </c>
      <c r="F69" s="69">
        <f>SUM(F68:F68)</f>
        <v>0</v>
      </c>
    </row>
    <row r="70" spans="1:6" x14ac:dyDescent="0.2">
      <c r="A70" s="18"/>
      <c r="B70" s="6"/>
      <c r="C70" s="66"/>
      <c r="D70" s="66"/>
      <c r="E70" s="66"/>
      <c r="F70" s="66"/>
    </row>
    <row r="71" spans="1:6" x14ac:dyDescent="0.2">
      <c r="A71" s="18" t="s">
        <v>309</v>
      </c>
      <c r="B71" s="31" t="s">
        <v>842</v>
      </c>
      <c r="C71" s="66"/>
      <c r="D71" s="66"/>
      <c r="E71" s="66"/>
      <c r="F71" s="66"/>
    </row>
    <row r="72" spans="1:6" x14ac:dyDescent="0.2">
      <c r="A72" s="18" t="s">
        <v>310</v>
      </c>
      <c r="B72" s="254" t="s">
        <v>2165</v>
      </c>
      <c r="C72" s="73">
        <v>0</v>
      </c>
      <c r="D72" s="73">
        <v>0</v>
      </c>
      <c r="E72" s="73">
        <v>0</v>
      </c>
      <c r="F72" s="73">
        <v>0</v>
      </c>
    </row>
    <row r="73" spans="1:6" x14ac:dyDescent="0.2">
      <c r="A73" s="18"/>
      <c r="B73" s="6" t="s">
        <v>1099</v>
      </c>
      <c r="C73" s="69">
        <f>SUM(C72)</f>
        <v>0</v>
      </c>
      <c r="D73" s="69">
        <f>SUM(D72)</f>
        <v>0</v>
      </c>
      <c r="E73" s="69">
        <f>SUM(E72)</f>
        <v>0</v>
      </c>
      <c r="F73" s="69">
        <f>SUM(F72)</f>
        <v>0</v>
      </c>
    </row>
    <row r="74" spans="1:6" x14ac:dyDescent="0.2">
      <c r="A74" s="18"/>
      <c r="B74" s="32"/>
      <c r="C74" s="66"/>
      <c r="D74" s="66"/>
      <c r="E74" s="66"/>
      <c r="F74" s="66"/>
    </row>
    <row r="75" spans="1:6" x14ac:dyDescent="0.2">
      <c r="A75" s="18" t="s">
        <v>311</v>
      </c>
      <c r="B75" s="4" t="s">
        <v>125</v>
      </c>
      <c r="C75" s="62"/>
    </row>
    <row r="76" spans="1:6" x14ac:dyDescent="0.2">
      <c r="A76" s="18" t="s">
        <v>312</v>
      </c>
      <c r="B76" s="253" t="s">
        <v>2191</v>
      </c>
      <c r="C76" s="66">
        <v>0</v>
      </c>
      <c r="D76" s="66">
        <v>0</v>
      </c>
      <c r="E76" s="66">
        <v>0</v>
      </c>
      <c r="F76" s="66">
        <v>0</v>
      </c>
    </row>
    <row r="77" spans="1:6" x14ac:dyDescent="0.2">
      <c r="A77" s="18" t="s">
        <v>1157</v>
      </c>
      <c r="B77" s="253" t="s">
        <v>1895</v>
      </c>
      <c r="C77" s="67">
        <v>0</v>
      </c>
      <c r="D77" s="67">
        <v>0</v>
      </c>
      <c r="E77" s="67">
        <v>0</v>
      </c>
      <c r="F77" s="67">
        <v>0</v>
      </c>
    </row>
    <row r="78" spans="1:6" x14ac:dyDescent="0.2">
      <c r="A78" s="18" t="s">
        <v>1158</v>
      </c>
      <c r="B78" s="253" t="s">
        <v>1896</v>
      </c>
      <c r="C78" s="67">
        <v>0</v>
      </c>
      <c r="D78" s="67">
        <v>0</v>
      </c>
      <c r="E78" s="67">
        <v>0</v>
      </c>
      <c r="F78" s="67">
        <v>0</v>
      </c>
    </row>
    <row r="79" spans="1:6" x14ac:dyDescent="0.2">
      <c r="A79" s="18" t="s">
        <v>1159</v>
      </c>
      <c r="B79" s="253" t="s">
        <v>1897</v>
      </c>
      <c r="C79" s="67">
        <v>0</v>
      </c>
      <c r="D79" s="67">
        <v>0</v>
      </c>
      <c r="E79" s="67">
        <v>0</v>
      </c>
      <c r="F79" s="67">
        <v>0</v>
      </c>
    </row>
    <row r="80" spans="1:6" x14ac:dyDescent="0.2">
      <c r="A80" s="18" t="s">
        <v>1160</v>
      </c>
      <c r="B80" s="253" t="s">
        <v>1899</v>
      </c>
      <c r="C80" s="67">
        <v>0</v>
      </c>
      <c r="D80" s="67">
        <v>0</v>
      </c>
      <c r="E80" s="67">
        <v>0</v>
      </c>
      <c r="F80" s="67">
        <v>0</v>
      </c>
    </row>
    <row r="81" spans="1:6" x14ac:dyDescent="0.2">
      <c r="A81" s="18" t="s">
        <v>1161</v>
      </c>
      <c r="B81" s="253" t="s">
        <v>1902</v>
      </c>
      <c r="C81" s="63">
        <v>0</v>
      </c>
      <c r="D81" s="63">
        <v>0</v>
      </c>
      <c r="E81" s="63">
        <v>0</v>
      </c>
      <c r="F81" s="63">
        <v>0</v>
      </c>
    </row>
    <row r="82" spans="1:6" x14ac:dyDescent="0.2">
      <c r="A82" s="18"/>
      <c r="B82" s="6" t="s">
        <v>1099</v>
      </c>
      <c r="C82" s="69">
        <f>SUM(C76:C81)</f>
        <v>0</v>
      </c>
      <c r="D82" s="69">
        <f>SUM(D76:D81)</f>
        <v>0</v>
      </c>
      <c r="E82" s="69">
        <f>SUM(E76:E81)</f>
        <v>0</v>
      </c>
      <c r="F82" s="69">
        <f>SUM(F76:F81)</f>
        <v>0</v>
      </c>
    </row>
    <row r="83" spans="1:6" x14ac:dyDescent="0.2">
      <c r="A83" s="18"/>
      <c r="B83" s="6"/>
      <c r="C83" s="66"/>
      <c r="D83" s="66"/>
      <c r="E83" s="66"/>
      <c r="F83" s="66"/>
    </row>
    <row r="84" spans="1:6" x14ac:dyDescent="0.2">
      <c r="A84" s="18" t="s">
        <v>1162</v>
      </c>
      <c r="B84" s="38" t="s">
        <v>126</v>
      </c>
      <c r="C84" s="66"/>
      <c r="D84" s="66"/>
      <c r="E84" s="66"/>
      <c r="F84" s="66"/>
    </row>
    <row r="85" spans="1:6" x14ac:dyDescent="0.2">
      <c r="A85" s="18" t="s">
        <v>1163</v>
      </c>
      <c r="B85" s="254" t="s">
        <v>2164</v>
      </c>
      <c r="C85" s="73">
        <v>0</v>
      </c>
      <c r="D85" s="73">
        <v>0</v>
      </c>
      <c r="E85" s="73">
        <v>0</v>
      </c>
      <c r="F85" s="73">
        <v>0</v>
      </c>
    </row>
    <row r="86" spans="1:6" x14ac:dyDescent="0.2">
      <c r="A86" s="18"/>
      <c r="B86" s="6" t="s">
        <v>1099</v>
      </c>
      <c r="C86" s="69">
        <f>SUM(C85)</f>
        <v>0</v>
      </c>
      <c r="D86" s="69">
        <f>SUM(D85)</f>
        <v>0</v>
      </c>
      <c r="E86" s="69">
        <f>SUM(E85)</f>
        <v>0</v>
      </c>
      <c r="F86" s="69">
        <f>SUM(F85)</f>
        <v>0</v>
      </c>
    </row>
    <row r="87" spans="1:6" x14ac:dyDescent="0.2">
      <c r="A87" s="18"/>
      <c r="B87" s="32"/>
      <c r="C87" s="66"/>
      <c r="D87" s="66"/>
      <c r="E87" s="66"/>
      <c r="F87" s="66"/>
    </row>
    <row r="88" spans="1:6" x14ac:dyDescent="0.2">
      <c r="A88" s="18" t="s">
        <v>174</v>
      </c>
      <c r="B88" s="38" t="s">
        <v>127</v>
      </c>
      <c r="C88" s="72"/>
      <c r="D88" s="72"/>
      <c r="E88" s="72"/>
      <c r="F88" s="72"/>
    </row>
    <row r="89" spans="1:6" x14ac:dyDescent="0.2">
      <c r="A89" s="18" t="s">
        <v>175</v>
      </c>
      <c r="B89" s="254" t="s">
        <v>2170</v>
      </c>
      <c r="C89" s="72">
        <v>0</v>
      </c>
      <c r="D89" s="72">
        <v>0</v>
      </c>
      <c r="E89" s="72">
        <v>0</v>
      </c>
      <c r="F89" s="72">
        <v>0</v>
      </c>
    </row>
    <row r="90" spans="1:6" x14ac:dyDescent="0.2">
      <c r="A90" s="18" t="s">
        <v>176</v>
      </c>
      <c r="B90" s="253" t="s">
        <v>1893</v>
      </c>
      <c r="C90" s="67">
        <v>0</v>
      </c>
      <c r="D90" s="67">
        <v>0</v>
      </c>
      <c r="E90" s="67">
        <v>0</v>
      </c>
      <c r="F90" s="67">
        <v>0</v>
      </c>
    </row>
    <row r="91" spans="1:6" x14ac:dyDescent="0.2">
      <c r="A91" s="18" t="s">
        <v>177</v>
      </c>
      <c r="B91" s="254" t="s">
        <v>1895</v>
      </c>
      <c r="C91" s="67">
        <v>0</v>
      </c>
      <c r="D91" s="67">
        <v>0</v>
      </c>
      <c r="E91" s="67">
        <v>0</v>
      </c>
      <c r="F91" s="67">
        <v>0</v>
      </c>
    </row>
    <row r="92" spans="1:6" x14ac:dyDescent="0.2">
      <c r="A92" s="18" t="s">
        <v>178</v>
      </c>
      <c r="B92" s="254" t="s">
        <v>1896</v>
      </c>
      <c r="C92" s="67">
        <v>0</v>
      </c>
      <c r="D92" s="67">
        <v>0</v>
      </c>
      <c r="E92" s="67">
        <v>0</v>
      </c>
      <c r="F92" s="67">
        <v>0</v>
      </c>
    </row>
    <row r="93" spans="1:6" x14ac:dyDescent="0.2">
      <c r="A93" s="18" t="s">
        <v>179</v>
      </c>
      <c r="B93" s="254" t="s">
        <v>1897</v>
      </c>
      <c r="C93" s="67">
        <v>0</v>
      </c>
      <c r="D93" s="67">
        <v>0</v>
      </c>
      <c r="E93" s="67">
        <v>0</v>
      </c>
      <c r="F93" s="67">
        <v>0</v>
      </c>
    </row>
    <row r="94" spans="1:6" x14ac:dyDescent="0.2">
      <c r="A94" s="18" t="s">
        <v>180</v>
      </c>
      <c r="B94" s="254" t="s">
        <v>1899</v>
      </c>
      <c r="C94" s="54">
        <v>0</v>
      </c>
      <c r="D94" s="54">
        <v>0</v>
      </c>
      <c r="E94" s="54">
        <v>0</v>
      </c>
      <c r="F94" s="54">
        <v>0</v>
      </c>
    </row>
    <row r="95" spans="1:6" x14ac:dyDescent="0.2">
      <c r="A95" s="18" t="s">
        <v>181</v>
      </c>
      <c r="B95" s="254" t="s">
        <v>2030</v>
      </c>
      <c r="C95" s="54">
        <v>0</v>
      </c>
      <c r="D95" s="54">
        <v>0</v>
      </c>
      <c r="E95" s="54">
        <v>0</v>
      </c>
      <c r="F95" s="54">
        <v>0</v>
      </c>
    </row>
    <row r="96" spans="1:6" x14ac:dyDescent="0.2">
      <c r="A96" s="18" t="s">
        <v>182</v>
      </c>
      <c r="B96" s="254" t="s">
        <v>1904</v>
      </c>
      <c r="C96" s="54">
        <v>0</v>
      </c>
      <c r="D96" s="54">
        <v>0</v>
      </c>
      <c r="E96" s="54">
        <v>0</v>
      </c>
      <c r="F96" s="54">
        <v>0</v>
      </c>
    </row>
    <row r="97" spans="1:6" x14ac:dyDescent="0.2">
      <c r="A97" s="18"/>
      <c r="B97" s="6" t="s">
        <v>1099</v>
      </c>
      <c r="C97" s="69">
        <f>SUM(C89:C96)</f>
        <v>0</v>
      </c>
      <c r="D97" s="69">
        <f>SUM(D89:D96)</f>
        <v>0</v>
      </c>
      <c r="E97" s="69">
        <f>SUM(E89:E96)</f>
        <v>0</v>
      </c>
      <c r="F97" s="69">
        <f>SUM(F89:F96)</f>
        <v>0</v>
      </c>
    </row>
    <row r="98" spans="1:6" x14ac:dyDescent="0.2">
      <c r="A98" s="18"/>
      <c r="B98" s="6"/>
      <c r="C98" s="72"/>
      <c r="D98" s="72"/>
      <c r="E98" s="72"/>
      <c r="F98" s="72"/>
    </row>
    <row r="99" spans="1:6" x14ac:dyDescent="0.2">
      <c r="A99" s="18" t="s">
        <v>1530</v>
      </c>
      <c r="B99" s="31" t="s">
        <v>63</v>
      </c>
      <c r="C99" s="72"/>
      <c r="D99" s="72"/>
      <c r="E99" s="72"/>
      <c r="F99" s="72"/>
    </row>
    <row r="100" spans="1:6" x14ac:dyDescent="0.2">
      <c r="A100" s="18" t="s">
        <v>1531</v>
      </c>
      <c r="B100" s="254" t="s">
        <v>2192</v>
      </c>
      <c r="C100" s="54">
        <v>0</v>
      </c>
      <c r="D100" s="54">
        <v>0</v>
      </c>
      <c r="E100" s="54">
        <v>0</v>
      </c>
      <c r="F100" s="54">
        <v>0</v>
      </c>
    </row>
    <row r="101" spans="1:6" x14ac:dyDescent="0.2">
      <c r="A101" s="18"/>
      <c r="B101" s="6" t="s">
        <v>1099</v>
      </c>
      <c r="C101" s="69">
        <f>SUM(C100:C100)</f>
        <v>0</v>
      </c>
      <c r="D101" s="69">
        <f>SUM(D100:D100)</f>
        <v>0</v>
      </c>
      <c r="E101" s="69">
        <f>SUM(E100:E100)</f>
        <v>0</v>
      </c>
      <c r="F101" s="69">
        <f>SUM(F100:F100)</f>
        <v>0</v>
      </c>
    </row>
    <row r="102" spans="1:6" x14ac:dyDescent="0.2">
      <c r="B102" s="33"/>
      <c r="C102" s="62"/>
    </row>
    <row r="103" spans="1:6" ht="13.5" thickBot="1" x14ac:dyDescent="0.25">
      <c r="B103" s="6" t="s">
        <v>1319</v>
      </c>
      <c r="C103" s="206">
        <f>C43+C47+C53+C65+C69+C73+C82+C86+C97+C101+C58</f>
        <v>538967.29</v>
      </c>
      <c r="D103" s="71">
        <f>D43+D47+D53+D65+D69+D73+D82+D86+D97+D101+D58</f>
        <v>535374.97</v>
      </c>
      <c r="E103" s="71">
        <f>E43+E47+E53+E65+E69+E73+E82+E86+E97+E101+E58</f>
        <v>530685</v>
      </c>
      <c r="F103" s="71">
        <f>F43+F47+F53+F65+F69+F73+F82+F86+F97+F101+F58</f>
        <v>533097.80000000005</v>
      </c>
    </row>
    <row r="104" spans="1:6" ht="13.5" thickTop="1" x14ac:dyDescent="0.2">
      <c r="B104" s="6"/>
      <c r="C104" s="72"/>
      <c r="D104" s="72"/>
      <c r="E104" s="72"/>
      <c r="F104" s="72"/>
    </row>
    <row r="105" spans="1:6" x14ac:dyDescent="0.2">
      <c r="B105" s="4" t="s">
        <v>638</v>
      </c>
      <c r="C105" s="62"/>
    </row>
    <row r="106" spans="1:6" x14ac:dyDescent="0.2">
      <c r="B106" s="4" t="s">
        <v>1106</v>
      </c>
      <c r="C106" s="62"/>
    </row>
    <row r="107" spans="1:6" x14ac:dyDescent="0.2">
      <c r="B107" s="4" t="s">
        <v>1321</v>
      </c>
      <c r="C107" s="62"/>
    </row>
    <row r="108" spans="1:6" x14ac:dyDescent="0.2">
      <c r="C108" s="77" t="str">
        <f>+C4</f>
        <v>2018 ACTUAL</v>
      </c>
      <c r="D108" s="77" t="str">
        <f>+D4</f>
        <v>2019 ACTUAL</v>
      </c>
      <c r="E108" s="77" t="str">
        <f>+E4</f>
        <v>2020 BUDGET</v>
      </c>
      <c r="F108" s="77" t="str">
        <f>+F4</f>
        <v>2021 BUDGET</v>
      </c>
    </row>
    <row r="109" spans="1:6" x14ac:dyDescent="0.2">
      <c r="C109" s="75"/>
      <c r="D109" s="75"/>
      <c r="E109" s="75"/>
      <c r="F109" s="75"/>
    </row>
    <row r="110" spans="1:6" x14ac:dyDescent="0.2">
      <c r="B110" t="s">
        <v>1322</v>
      </c>
      <c r="C110" s="72">
        <v>9390.4399999999441</v>
      </c>
      <c r="D110" s="72">
        <f>C118</f>
        <v>13476.469999999856</v>
      </c>
      <c r="E110" s="72">
        <f>D118</f>
        <v>9501.0799999999581</v>
      </c>
      <c r="F110" s="72">
        <f>E118</f>
        <v>9501.0799999999581</v>
      </c>
    </row>
    <row r="111" spans="1:6" x14ac:dyDescent="0.2">
      <c r="C111" s="62"/>
    </row>
    <row r="112" spans="1:6" x14ac:dyDescent="0.2">
      <c r="B112" t="s">
        <v>1323</v>
      </c>
      <c r="C112" s="67">
        <f>C20</f>
        <v>543053.31999999995</v>
      </c>
      <c r="D112" s="67">
        <f>D20</f>
        <v>531399.58000000007</v>
      </c>
      <c r="E112" s="67">
        <f>E20</f>
        <v>530685</v>
      </c>
      <c r="F112" s="67">
        <f>F20</f>
        <v>533097.80000000005</v>
      </c>
    </row>
    <row r="113" spans="1:6" x14ac:dyDescent="0.2">
      <c r="A113" s="18"/>
      <c r="C113" s="67"/>
      <c r="D113" s="67"/>
      <c r="E113" s="67"/>
      <c r="F113" s="67"/>
    </row>
    <row r="114" spans="1:6" x14ac:dyDescent="0.2">
      <c r="A114" s="18"/>
      <c r="B114" t="s">
        <v>1324</v>
      </c>
      <c r="C114" s="67">
        <f>C103</f>
        <v>538967.29</v>
      </c>
      <c r="D114" s="67">
        <f>D103</f>
        <v>535374.97</v>
      </c>
      <c r="E114" s="67">
        <f>E103</f>
        <v>530685</v>
      </c>
      <c r="F114" s="67">
        <f>F103</f>
        <v>533097.80000000005</v>
      </c>
    </row>
    <row r="115" spans="1:6" x14ac:dyDescent="0.2">
      <c r="A115" s="18"/>
      <c r="C115" s="67"/>
      <c r="D115" s="67"/>
      <c r="E115" s="67"/>
      <c r="F115" s="67"/>
    </row>
    <row r="116" spans="1:6" x14ac:dyDescent="0.2">
      <c r="A116" s="18"/>
      <c r="B116" t="s">
        <v>1325</v>
      </c>
      <c r="C116" s="63">
        <v>0</v>
      </c>
      <c r="D116" s="63">
        <v>0</v>
      </c>
      <c r="E116" s="63">
        <v>0</v>
      </c>
      <c r="F116" s="63">
        <v>0</v>
      </c>
    </row>
    <row r="117" spans="1:6" x14ac:dyDescent="0.2">
      <c r="A117" s="18"/>
      <c r="C117" s="54" t="s">
        <v>1410</v>
      </c>
      <c r="D117" s="54" t="s">
        <v>1410</v>
      </c>
      <c r="E117" s="54" t="s">
        <v>1410</v>
      </c>
      <c r="F117" s="54" t="s">
        <v>1410</v>
      </c>
    </row>
    <row r="118" spans="1:6" ht="13.5" thickBot="1" x14ac:dyDescent="0.25">
      <c r="A118" s="18"/>
      <c r="B118" t="s">
        <v>1326</v>
      </c>
      <c r="C118" s="71">
        <f>C110+C112-C114+C116</f>
        <v>13476.469999999856</v>
      </c>
      <c r="D118" s="71">
        <f>D110+D112-D114+D116</f>
        <v>9501.0799999999581</v>
      </c>
      <c r="E118" s="71">
        <f>E110+E112-E114+E116</f>
        <v>9501.0799999999581</v>
      </c>
      <c r="F118" s="71">
        <f>F110+F112-F114+F116</f>
        <v>9501.0799999999581</v>
      </c>
    </row>
    <row r="119" spans="1:6" ht="13.5" thickTop="1" x14ac:dyDescent="0.2">
      <c r="A119" s="18"/>
    </row>
    <row r="120" spans="1:6" x14ac:dyDescent="0.2">
      <c r="C120" s="10"/>
      <c r="D120" s="67"/>
    </row>
  </sheetData>
  <phoneticPr fontId="2" type="noConversion"/>
  <pageMargins left="0.5" right="0.5" top="1" bottom="1" header="0.5" footer="0.5"/>
  <pageSetup scale="85" firstPageNumber="39" orientation="portrait" useFirstPageNumber="1" r:id="rId1"/>
  <headerFooter alignWithMargins="0">
    <oddFooter>&amp;C&amp;P</oddFooter>
  </headerFooter>
  <rowBreaks count="1" manualBreakCount="1">
    <brk id="5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Y922"/>
  <sheetViews>
    <sheetView zoomScaleNormal="100" workbookViewId="0"/>
  </sheetViews>
  <sheetFormatPr defaultRowHeight="12.75" x14ac:dyDescent="0.2"/>
  <cols>
    <col min="1" max="1" width="19" bestFit="1" customWidth="1"/>
    <col min="2" max="2" width="40" customWidth="1"/>
    <col min="3" max="3" width="14" style="62" customWidth="1"/>
    <col min="4" max="4" width="15.5703125" style="67" bestFit="1" customWidth="1"/>
    <col min="5" max="6" width="13.28515625" style="62" bestFit="1" customWidth="1"/>
    <col min="7" max="7" width="11.140625" customWidth="1"/>
  </cols>
  <sheetData>
    <row r="1" spans="1:7" x14ac:dyDescent="0.2">
      <c r="A1" s="18" t="s">
        <v>1410</v>
      </c>
      <c r="B1" s="4" t="s">
        <v>638</v>
      </c>
      <c r="C1" s="75" t="s">
        <v>1410</v>
      </c>
      <c r="D1" s="230" t="s">
        <v>1410</v>
      </c>
      <c r="E1" s="75" t="s">
        <v>1410</v>
      </c>
      <c r="F1" s="75" t="s">
        <v>1410</v>
      </c>
    </row>
    <row r="2" spans="1:7" x14ac:dyDescent="0.2">
      <c r="A2" s="18"/>
      <c r="B2" s="4" t="s">
        <v>279</v>
      </c>
      <c r="C2" s="75" t="s">
        <v>1410</v>
      </c>
      <c r="D2" s="230" t="s">
        <v>1410</v>
      </c>
      <c r="E2" s="75" t="s">
        <v>1410</v>
      </c>
      <c r="F2" s="75" t="s">
        <v>1410</v>
      </c>
    </row>
    <row r="3" spans="1:7" x14ac:dyDescent="0.2">
      <c r="A3" s="18"/>
      <c r="B3" s="4" t="s">
        <v>299</v>
      </c>
      <c r="C3" s="75" t="s">
        <v>1410</v>
      </c>
      <c r="D3" s="230" t="s">
        <v>1410</v>
      </c>
      <c r="E3" s="75" t="s">
        <v>1410</v>
      </c>
      <c r="F3" s="75" t="s">
        <v>1410</v>
      </c>
    </row>
    <row r="4" spans="1:7" x14ac:dyDescent="0.2">
      <c r="A4" s="18"/>
      <c r="C4" s="77" t="s">
        <v>1783</v>
      </c>
      <c r="D4" s="266" t="s">
        <v>1828</v>
      </c>
      <c r="E4" s="77" t="s">
        <v>1784</v>
      </c>
      <c r="F4" s="77" t="s">
        <v>1827</v>
      </c>
    </row>
    <row r="5" spans="1:7" x14ac:dyDescent="0.2">
      <c r="A5" s="19" t="s">
        <v>280</v>
      </c>
      <c r="B5" s="20" t="s">
        <v>300</v>
      </c>
    </row>
    <row r="6" spans="1:7" x14ac:dyDescent="0.2">
      <c r="A6" s="19" t="s">
        <v>1366</v>
      </c>
      <c r="B6" s="258" t="s">
        <v>1831</v>
      </c>
      <c r="C6" s="80">
        <v>16584391.880000001</v>
      </c>
      <c r="D6" s="34">
        <f>17009041.99+47000</f>
        <v>17056041.989999998</v>
      </c>
      <c r="E6" s="80">
        <v>17872546</v>
      </c>
      <c r="F6" s="80">
        <f>SUM(intro!H377)</f>
        <v>18206625.255520102</v>
      </c>
    </row>
    <row r="7" spans="1:7" x14ac:dyDescent="0.2">
      <c r="A7" s="19" t="s">
        <v>1367</v>
      </c>
      <c r="B7" s="258" t="s">
        <v>1832</v>
      </c>
      <c r="C7" s="63">
        <v>740593.76</v>
      </c>
      <c r="D7" s="63">
        <v>533702</v>
      </c>
      <c r="E7" s="63">
        <v>488875</v>
      </c>
      <c r="F7" s="63">
        <f>+intro!K387</f>
        <v>549430</v>
      </c>
    </row>
    <row r="8" spans="1:7" x14ac:dyDescent="0.2">
      <c r="A8" s="19"/>
      <c r="B8" s="22" t="s">
        <v>1099</v>
      </c>
      <c r="C8" s="73">
        <f>SUM(C6:C7)</f>
        <v>17324985.640000001</v>
      </c>
      <c r="D8" s="63">
        <f>SUM(D6:D7)</f>
        <v>17589743.989999998</v>
      </c>
      <c r="E8" s="73">
        <f>SUM(E6:E7)</f>
        <v>18361421</v>
      </c>
      <c r="F8" s="73">
        <f>SUM(F6:F7)</f>
        <v>18756055.255520102</v>
      </c>
    </row>
    <row r="9" spans="1:7" x14ac:dyDescent="0.2">
      <c r="A9" s="19"/>
      <c r="B9" s="22"/>
      <c r="C9" s="72"/>
      <c r="D9" s="54"/>
      <c r="E9" s="72"/>
      <c r="F9" s="72"/>
    </row>
    <row r="10" spans="1:7" x14ac:dyDescent="0.2">
      <c r="A10" s="19" t="s">
        <v>281</v>
      </c>
      <c r="B10" s="20" t="s">
        <v>655</v>
      </c>
    </row>
    <row r="11" spans="1:7" x14ac:dyDescent="0.2">
      <c r="A11" s="19" t="s">
        <v>1371</v>
      </c>
      <c r="B11" s="258" t="s">
        <v>1833</v>
      </c>
      <c r="C11" s="72">
        <v>64520</v>
      </c>
      <c r="D11" s="54">
        <v>76550</v>
      </c>
      <c r="E11" s="72">
        <v>65000</v>
      </c>
      <c r="F11" s="72">
        <v>65000</v>
      </c>
    </row>
    <row r="12" spans="1:7" x14ac:dyDescent="0.2">
      <c r="A12" s="19" t="s">
        <v>1368</v>
      </c>
      <c r="B12" s="258" t="s">
        <v>1834</v>
      </c>
      <c r="C12" s="81">
        <v>29392.080000000002</v>
      </c>
      <c r="D12" s="67">
        <v>46213.18</v>
      </c>
      <c r="E12" s="81">
        <v>30000</v>
      </c>
      <c r="F12" s="81">
        <v>30000</v>
      </c>
      <c r="G12" s="8"/>
    </row>
    <row r="13" spans="1:7" x14ac:dyDescent="0.2">
      <c r="A13" s="19" t="s">
        <v>1369</v>
      </c>
      <c r="B13" s="258" t="s">
        <v>1835</v>
      </c>
      <c r="C13" s="67">
        <v>2205</v>
      </c>
      <c r="D13" s="67">
        <v>3058</v>
      </c>
      <c r="E13" s="67">
        <v>3000</v>
      </c>
      <c r="F13" s="67">
        <v>3000</v>
      </c>
    </row>
    <row r="14" spans="1:7" x14ac:dyDescent="0.2">
      <c r="A14" s="19" t="s">
        <v>1370</v>
      </c>
      <c r="B14" s="258" t="s">
        <v>1836</v>
      </c>
      <c r="C14" s="67">
        <v>1000</v>
      </c>
      <c r="D14" s="67">
        <v>1000</v>
      </c>
      <c r="E14" s="67">
        <v>0</v>
      </c>
      <c r="F14" s="67">
        <v>0</v>
      </c>
    </row>
    <row r="15" spans="1:7" x14ac:dyDescent="0.2">
      <c r="A15" s="18"/>
      <c r="B15" s="6" t="s">
        <v>1099</v>
      </c>
      <c r="C15" s="69">
        <f>SUM(C11:C14)</f>
        <v>97117.08</v>
      </c>
      <c r="D15" s="87">
        <f>SUM(D11:D14)</f>
        <v>126821.18</v>
      </c>
      <c r="E15" s="69">
        <f>SUM(E11:E14)</f>
        <v>98000</v>
      </c>
      <c r="F15" s="69">
        <f>SUM(F11:F14)</f>
        <v>98000</v>
      </c>
    </row>
    <row r="17" spans="1:6" x14ac:dyDescent="0.2">
      <c r="A17" s="19" t="s">
        <v>282</v>
      </c>
      <c r="B17" s="20" t="s">
        <v>755</v>
      </c>
    </row>
    <row r="18" spans="1:6" x14ac:dyDescent="0.2">
      <c r="A18" s="197" t="s">
        <v>1660</v>
      </c>
      <c r="B18" s="257" t="s">
        <v>1837</v>
      </c>
      <c r="C18" s="66">
        <v>4367.28</v>
      </c>
      <c r="D18" s="67">
        <v>12082.96</v>
      </c>
      <c r="E18" s="66">
        <v>0</v>
      </c>
      <c r="F18" s="66">
        <v>0</v>
      </c>
    </row>
    <row r="19" spans="1:6" s="62" customFormat="1" x14ac:dyDescent="0.2">
      <c r="A19" s="109" t="s">
        <v>736</v>
      </c>
      <c r="B19" s="259" t="s">
        <v>1838</v>
      </c>
      <c r="C19" s="81">
        <v>2963.15</v>
      </c>
      <c r="D19" s="67">
        <v>2595.3000000000002</v>
      </c>
      <c r="E19" s="81">
        <v>2900</v>
      </c>
      <c r="F19" s="81">
        <v>2900</v>
      </c>
    </row>
    <row r="20" spans="1:6" s="62" customFormat="1" x14ac:dyDescent="0.2">
      <c r="A20" s="109" t="s">
        <v>735</v>
      </c>
      <c r="B20" s="259" t="s">
        <v>1839</v>
      </c>
      <c r="C20" s="81">
        <v>30269.75</v>
      </c>
      <c r="D20" s="67">
        <v>20200</v>
      </c>
      <c r="E20" s="81">
        <v>25200</v>
      </c>
      <c r="F20" s="81">
        <v>25200</v>
      </c>
    </row>
    <row r="21" spans="1:6" s="62" customFormat="1" x14ac:dyDescent="0.2">
      <c r="A21" s="109" t="s">
        <v>737</v>
      </c>
      <c r="B21" s="261" t="s">
        <v>1840</v>
      </c>
      <c r="C21" s="82">
        <v>775</v>
      </c>
      <c r="D21" s="82">
        <v>1353</v>
      </c>
      <c r="E21" s="82">
        <v>1000</v>
      </c>
      <c r="F21" s="82">
        <v>1000</v>
      </c>
    </row>
    <row r="22" spans="1:6" x14ac:dyDescent="0.2">
      <c r="A22" s="18" t="s">
        <v>816</v>
      </c>
      <c r="B22" s="253" t="s">
        <v>1841</v>
      </c>
      <c r="C22" s="67">
        <v>6450.88</v>
      </c>
      <c r="D22" s="67">
        <v>7779.53</v>
      </c>
      <c r="E22" s="67">
        <v>6500</v>
      </c>
      <c r="F22" s="67">
        <v>6500</v>
      </c>
    </row>
    <row r="23" spans="1:6" x14ac:dyDescent="0.2">
      <c r="A23" s="19" t="s">
        <v>738</v>
      </c>
      <c r="B23" s="259" t="s">
        <v>1842</v>
      </c>
      <c r="C23" s="82">
        <v>0</v>
      </c>
      <c r="D23" s="82">
        <v>0</v>
      </c>
      <c r="E23" s="82">
        <v>0</v>
      </c>
      <c r="F23" s="82">
        <v>0</v>
      </c>
    </row>
    <row r="24" spans="1:6" x14ac:dyDescent="0.2">
      <c r="A24" s="19" t="s">
        <v>739</v>
      </c>
      <c r="B24" s="259" t="s">
        <v>1843</v>
      </c>
      <c r="C24" s="82">
        <v>432390</v>
      </c>
      <c r="D24" s="82">
        <v>467940.88</v>
      </c>
      <c r="E24" s="82">
        <v>150000</v>
      </c>
      <c r="F24" s="82">
        <v>240000</v>
      </c>
    </row>
    <row r="25" spans="1:6" x14ac:dyDescent="0.2">
      <c r="A25" s="18" t="s">
        <v>740</v>
      </c>
      <c r="B25" s="253" t="s">
        <v>1844</v>
      </c>
      <c r="C25" s="67">
        <v>63015.5</v>
      </c>
      <c r="D25" s="67">
        <v>57705</v>
      </c>
      <c r="E25" s="67">
        <v>63000</v>
      </c>
      <c r="F25" s="67">
        <v>30000</v>
      </c>
    </row>
    <row r="26" spans="1:6" s="62" customFormat="1" x14ac:dyDescent="0.2">
      <c r="A26" s="79" t="s">
        <v>741</v>
      </c>
      <c r="B26" s="262" t="s">
        <v>1845</v>
      </c>
      <c r="C26" s="67">
        <v>7692.43</v>
      </c>
      <c r="D26" s="67">
        <v>8815.2199999999993</v>
      </c>
      <c r="E26" s="67">
        <v>8000</v>
      </c>
      <c r="F26" s="67">
        <v>8000</v>
      </c>
    </row>
    <row r="27" spans="1:6" s="62" customFormat="1" x14ac:dyDescent="0.2">
      <c r="A27" s="79" t="s">
        <v>464</v>
      </c>
      <c r="B27" s="262" t="s">
        <v>1846</v>
      </c>
      <c r="C27" s="67">
        <v>2941.09</v>
      </c>
      <c r="D27" s="67">
        <v>5421.16</v>
      </c>
      <c r="E27" s="67">
        <v>3000</v>
      </c>
      <c r="F27" s="67">
        <v>3000</v>
      </c>
    </row>
    <row r="28" spans="1:6" x14ac:dyDescent="0.2">
      <c r="A28" s="18" t="s">
        <v>1410</v>
      </c>
      <c r="B28" s="6" t="s">
        <v>1099</v>
      </c>
      <c r="C28" s="69">
        <f>SUM(C18:C27)</f>
        <v>550865.08000000007</v>
      </c>
      <c r="D28" s="87">
        <f>SUM(D18:D27)</f>
        <v>583893.04999999993</v>
      </c>
      <c r="E28" s="69">
        <f>SUM(E18:E27)</f>
        <v>259600</v>
      </c>
      <c r="F28" s="69">
        <f>SUM(F18:F27)</f>
        <v>316600</v>
      </c>
    </row>
    <row r="30" spans="1:6" x14ac:dyDescent="0.2">
      <c r="A30" s="19" t="s">
        <v>283</v>
      </c>
      <c r="B30" s="20" t="s">
        <v>301</v>
      </c>
    </row>
    <row r="31" spans="1:6" x14ac:dyDescent="0.2">
      <c r="A31" s="19" t="s">
        <v>1372</v>
      </c>
      <c r="B31" s="257" t="s">
        <v>1847</v>
      </c>
      <c r="C31" s="66">
        <v>0</v>
      </c>
      <c r="D31" s="67">
        <v>0</v>
      </c>
      <c r="E31" s="66">
        <v>0</v>
      </c>
      <c r="F31" s="66">
        <v>0</v>
      </c>
    </row>
    <row r="32" spans="1:6" x14ac:dyDescent="0.2">
      <c r="A32" s="19" t="s">
        <v>1373</v>
      </c>
      <c r="B32" s="258" t="s">
        <v>640</v>
      </c>
      <c r="C32" s="67">
        <v>6798.22</v>
      </c>
      <c r="D32" s="67">
        <v>3126.11</v>
      </c>
      <c r="E32" s="67">
        <v>6800</v>
      </c>
      <c r="F32" s="67">
        <v>6800</v>
      </c>
    </row>
    <row r="33" spans="1:6" s="62" customFormat="1" x14ac:dyDescent="0.2">
      <c r="A33" s="109" t="s">
        <v>1374</v>
      </c>
      <c r="B33" s="259" t="s">
        <v>91</v>
      </c>
      <c r="C33" s="67">
        <v>-7852.85</v>
      </c>
      <c r="D33" s="67">
        <v>214552.33</v>
      </c>
      <c r="E33" s="67">
        <v>50000</v>
      </c>
      <c r="F33" s="67">
        <v>50000</v>
      </c>
    </row>
    <row r="34" spans="1:6" s="62" customFormat="1" x14ac:dyDescent="0.2">
      <c r="A34" s="109" t="s">
        <v>1375</v>
      </c>
      <c r="B34" s="259" t="s">
        <v>645</v>
      </c>
      <c r="C34" s="82">
        <v>428311.79</v>
      </c>
      <c r="D34" s="82">
        <v>480487.32</v>
      </c>
      <c r="E34" s="82">
        <v>415000</v>
      </c>
      <c r="F34" s="82">
        <v>415000</v>
      </c>
    </row>
    <row r="35" spans="1:6" s="62" customFormat="1" x14ac:dyDescent="0.2">
      <c r="A35" s="109" t="s">
        <v>1376</v>
      </c>
      <c r="B35" s="259" t="s">
        <v>92</v>
      </c>
      <c r="C35" s="67">
        <v>676377.74</v>
      </c>
      <c r="D35" s="67">
        <v>729348.38</v>
      </c>
      <c r="E35" s="67">
        <v>650000</v>
      </c>
      <c r="F35" s="67">
        <v>650000</v>
      </c>
    </row>
    <row r="36" spans="1:6" x14ac:dyDescent="0.2">
      <c r="A36" s="19" t="s">
        <v>1377</v>
      </c>
      <c r="B36" s="258" t="s">
        <v>649</v>
      </c>
      <c r="C36" s="67">
        <v>9489.91</v>
      </c>
      <c r="D36" s="67">
        <v>8953.66</v>
      </c>
      <c r="E36" s="67">
        <v>9000</v>
      </c>
      <c r="F36" s="67">
        <v>9000</v>
      </c>
    </row>
    <row r="37" spans="1:6" x14ac:dyDescent="0.2">
      <c r="A37" s="19" t="s">
        <v>1378</v>
      </c>
      <c r="B37" s="258" t="s">
        <v>648</v>
      </c>
      <c r="C37" s="67">
        <v>218430.35</v>
      </c>
      <c r="D37" s="67">
        <v>216604.67</v>
      </c>
      <c r="E37" s="67">
        <v>210000</v>
      </c>
      <c r="F37" s="67">
        <v>210000</v>
      </c>
    </row>
    <row r="38" spans="1:6" x14ac:dyDescent="0.2">
      <c r="A38" s="19" t="s">
        <v>1379</v>
      </c>
      <c r="B38" s="258" t="s">
        <v>1336</v>
      </c>
      <c r="C38" s="67">
        <v>212415.64</v>
      </c>
      <c r="D38" s="67">
        <v>202628.15</v>
      </c>
      <c r="E38" s="67">
        <v>190000</v>
      </c>
      <c r="F38" s="67">
        <v>190000</v>
      </c>
    </row>
    <row r="39" spans="1:6" x14ac:dyDescent="0.2">
      <c r="A39" s="19" t="s">
        <v>1380</v>
      </c>
      <c r="B39" s="259" t="s">
        <v>1848</v>
      </c>
      <c r="C39" s="67">
        <v>4080.42</v>
      </c>
      <c r="D39" s="67">
        <v>3466.68</v>
      </c>
      <c r="E39" s="67">
        <v>4000</v>
      </c>
      <c r="F39" s="67">
        <v>4000</v>
      </c>
    </row>
    <row r="40" spans="1:6" x14ac:dyDescent="0.2">
      <c r="A40" s="197" t="s">
        <v>1558</v>
      </c>
      <c r="B40" s="260" t="s">
        <v>1544</v>
      </c>
      <c r="C40" s="67">
        <v>50</v>
      </c>
      <c r="D40" s="67">
        <v>20</v>
      </c>
      <c r="E40" s="67">
        <v>50</v>
      </c>
      <c r="F40" s="67">
        <v>50</v>
      </c>
    </row>
    <row r="41" spans="1:6" x14ac:dyDescent="0.2">
      <c r="A41" s="19" t="s">
        <v>1381</v>
      </c>
      <c r="B41" s="258" t="s">
        <v>1849</v>
      </c>
      <c r="C41" s="67">
        <v>14517.36</v>
      </c>
      <c r="D41" s="67">
        <v>11955.36</v>
      </c>
      <c r="E41" s="67">
        <v>14000</v>
      </c>
      <c r="F41" s="67">
        <v>14000</v>
      </c>
    </row>
    <row r="42" spans="1:6" x14ac:dyDescent="0.2">
      <c r="A42" s="19" t="s">
        <v>1382</v>
      </c>
      <c r="B42" s="258" t="s">
        <v>1850</v>
      </c>
      <c r="C42" s="67">
        <v>23865</v>
      </c>
      <c r="D42" s="67">
        <v>21605</v>
      </c>
      <c r="E42" s="67">
        <v>21000</v>
      </c>
      <c r="F42" s="67">
        <v>21000</v>
      </c>
    </row>
    <row r="43" spans="1:6" x14ac:dyDescent="0.2">
      <c r="A43" s="19" t="s">
        <v>1383</v>
      </c>
      <c r="B43" s="258" t="s">
        <v>1851</v>
      </c>
      <c r="C43" s="67">
        <v>30047.21</v>
      </c>
      <c r="D43" s="67">
        <v>31339.11</v>
      </c>
      <c r="E43" s="67">
        <v>23000</v>
      </c>
      <c r="F43" s="67">
        <v>23000</v>
      </c>
    </row>
    <row r="44" spans="1:6" x14ac:dyDescent="0.2">
      <c r="A44" s="19" t="s">
        <v>1384</v>
      </c>
      <c r="B44" s="258" t="s">
        <v>1852</v>
      </c>
      <c r="C44" s="67">
        <v>23026.99</v>
      </c>
      <c r="D44" s="67">
        <v>21904.400000000001</v>
      </c>
      <c r="E44" s="67">
        <v>21000</v>
      </c>
      <c r="F44" s="67">
        <v>21000</v>
      </c>
    </row>
    <row r="45" spans="1:6" x14ac:dyDescent="0.2">
      <c r="A45" s="19" t="s">
        <v>801</v>
      </c>
      <c r="B45" s="259" t="s">
        <v>1853</v>
      </c>
      <c r="C45" s="67">
        <v>0</v>
      </c>
      <c r="D45" s="67">
        <v>0</v>
      </c>
      <c r="E45" s="67">
        <v>1000</v>
      </c>
      <c r="F45" s="67">
        <v>1000</v>
      </c>
    </row>
    <row r="46" spans="1:6" x14ac:dyDescent="0.2">
      <c r="A46" s="19" t="s">
        <v>398</v>
      </c>
      <c r="B46" s="259" t="s">
        <v>117</v>
      </c>
      <c r="C46" s="67">
        <v>2453</v>
      </c>
      <c r="D46" s="67">
        <v>3287</v>
      </c>
      <c r="E46" s="67">
        <v>2400</v>
      </c>
      <c r="F46" s="67">
        <v>2400</v>
      </c>
    </row>
    <row r="47" spans="1:6" x14ac:dyDescent="0.2">
      <c r="A47" s="19" t="s">
        <v>1385</v>
      </c>
      <c r="B47" s="258" t="s">
        <v>1854</v>
      </c>
      <c r="C47" s="67">
        <v>4716</v>
      </c>
      <c r="D47" s="67">
        <v>6112</v>
      </c>
      <c r="E47" s="67">
        <v>4500</v>
      </c>
      <c r="F47" s="67">
        <v>4500</v>
      </c>
    </row>
    <row r="48" spans="1:6" x14ac:dyDescent="0.2">
      <c r="A48" s="19" t="s">
        <v>1387</v>
      </c>
      <c r="B48" s="258" t="s">
        <v>1855</v>
      </c>
      <c r="C48" s="67">
        <v>8916.57</v>
      </c>
      <c r="D48" s="67">
        <v>9737.19</v>
      </c>
      <c r="E48" s="67">
        <v>9000</v>
      </c>
      <c r="F48" s="67">
        <v>9000</v>
      </c>
    </row>
    <row r="49" spans="1:6" x14ac:dyDescent="0.2">
      <c r="A49" s="19" t="s">
        <v>1388</v>
      </c>
      <c r="B49" s="258" t="s">
        <v>1856</v>
      </c>
      <c r="C49" s="67">
        <v>5827.81</v>
      </c>
      <c r="D49" s="67">
        <v>6749</v>
      </c>
      <c r="E49" s="67">
        <v>5000</v>
      </c>
      <c r="F49" s="67">
        <v>5000</v>
      </c>
    </row>
    <row r="50" spans="1:6" x14ac:dyDescent="0.2">
      <c r="A50" s="19" t="s">
        <v>1386</v>
      </c>
      <c r="B50" s="258" t="s">
        <v>1857</v>
      </c>
      <c r="C50" s="67">
        <v>10166</v>
      </c>
      <c r="D50" s="67">
        <v>8980</v>
      </c>
      <c r="E50" s="67">
        <v>10000</v>
      </c>
      <c r="F50" s="67">
        <v>10000</v>
      </c>
    </row>
    <row r="51" spans="1:6" x14ac:dyDescent="0.2">
      <c r="A51" s="19" t="s">
        <v>2326</v>
      </c>
      <c r="B51" s="258" t="s">
        <v>2327</v>
      </c>
      <c r="C51" s="67">
        <v>0</v>
      </c>
      <c r="D51" s="67">
        <v>0</v>
      </c>
      <c r="E51" s="67">
        <v>0</v>
      </c>
      <c r="F51" s="67">
        <v>0</v>
      </c>
    </row>
    <row r="52" spans="1:6" x14ac:dyDescent="0.2">
      <c r="A52" s="197" t="s">
        <v>1691</v>
      </c>
      <c r="B52" s="260" t="s">
        <v>1858</v>
      </c>
      <c r="C52" s="67">
        <v>0</v>
      </c>
      <c r="D52" s="67">
        <v>550</v>
      </c>
      <c r="E52" s="67">
        <v>0</v>
      </c>
      <c r="F52" s="67">
        <v>0</v>
      </c>
    </row>
    <row r="53" spans="1:6" x14ac:dyDescent="0.2">
      <c r="A53" s="197" t="s">
        <v>1642</v>
      </c>
      <c r="B53" s="260" t="s">
        <v>1859</v>
      </c>
      <c r="C53" s="67">
        <v>17286.34</v>
      </c>
      <c r="D53" s="67">
        <v>16920.79</v>
      </c>
      <c r="E53" s="67">
        <v>0</v>
      </c>
      <c r="F53" s="67">
        <v>0</v>
      </c>
    </row>
    <row r="54" spans="1:6" x14ac:dyDescent="0.2">
      <c r="A54" s="19" t="s">
        <v>1389</v>
      </c>
      <c r="B54" s="258" t="s">
        <v>1860</v>
      </c>
      <c r="C54" s="67">
        <v>5.21</v>
      </c>
      <c r="D54" s="67">
        <v>1.89</v>
      </c>
      <c r="E54" s="67">
        <v>50</v>
      </c>
      <c r="F54" s="67">
        <v>50</v>
      </c>
    </row>
    <row r="55" spans="1:6" x14ac:dyDescent="0.2">
      <c r="A55" s="19" t="s">
        <v>1390</v>
      </c>
      <c r="B55" s="258" t="s">
        <v>1861</v>
      </c>
      <c r="C55" s="67">
        <v>15430.57</v>
      </c>
      <c r="D55" s="67">
        <v>16117.47</v>
      </c>
      <c r="E55" s="67">
        <v>15000</v>
      </c>
      <c r="F55" s="67">
        <v>15000</v>
      </c>
    </row>
    <row r="56" spans="1:6" x14ac:dyDescent="0.2">
      <c r="A56" s="19" t="s">
        <v>1391</v>
      </c>
      <c r="B56" s="258" t="s">
        <v>1862</v>
      </c>
      <c r="C56" s="67">
        <v>1804.1</v>
      </c>
      <c r="D56" s="67">
        <v>1488.24</v>
      </c>
      <c r="E56" s="67">
        <v>1800</v>
      </c>
      <c r="F56" s="67">
        <v>1800</v>
      </c>
    </row>
    <row r="57" spans="1:6" x14ac:dyDescent="0.2">
      <c r="A57" s="19" t="s">
        <v>724</v>
      </c>
      <c r="B57" s="259" t="s">
        <v>1863</v>
      </c>
      <c r="C57" s="67">
        <v>4354.09</v>
      </c>
      <c r="D57" s="67">
        <v>3833.18</v>
      </c>
      <c r="E57" s="67">
        <v>4000</v>
      </c>
      <c r="F57" s="67">
        <v>4000</v>
      </c>
    </row>
    <row r="58" spans="1:6" x14ac:dyDescent="0.2">
      <c r="A58" s="19" t="s">
        <v>725</v>
      </c>
      <c r="B58" s="258" t="s">
        <v>1864</v>
      </c>
      <c r="C58" s="54">
        <v>1061</v>
      </c>
      <c r="D58" s="54">
        <v>1115</v>
      </c>
      <c r="E58" s="54">
        <v>1000</v>
      </c>
      <c r="F58" s="54">
        <v>1000</v>
      </c>
    </row>
    <row r="59" spans="1:6" x14ac:dyDescent="0.2">
      <c r="A59" s="19" t="s">
        <v>802</v>
      </c>
      <c r="B59" s="259" t="s">
        <v>1865</v>
      </c>
      <c r="C59" s="54">
        <v>106474.87</v>
      </c>
      <c r="D59" s="84">
        <v>119376.57</v>
      </c>
      <c r="E59" s="54">
        <v>100000</v>
      </c>
      <c r="F59" s="54">
        <v>100000</v>
      </c>
    </row>
    <row r="60" spans="1:6" x14ac:dyDescent="0.2">
      <c r="A60" s="197" t="s">
        <v>1659</v>
      </c>
      <c r="B60" s="261" t="s">
        <v>1866</v>
      </c>
      <c r="C60" s="54">
        <v>0</v>
      </c>
      <c r="D60" s="54">
        <v>0</v>
      </c>
      <c r="E60" s="54">
        <v>1000</v>
      </c>
      <c r="F60" s="54">
        <v>1000</v>
      </c>
    </row>
    <row r="61" spans="1:6" x14ac:dyDescent="0.2">
      <c r="A61" s="19" t="s">
        <v>726</v>
      </c>
      <c r="B61" s="258" t="s">
        <v>1867</v>
      </c>
      <c r="C61" s="63">
        <v>2.79</v>
      </c>
      <c r="D61" s="63">
        <v>0.73</v>
      </c>
      <c r="E61" s="63">
        <v>50</v>
      </c>
      <c r="F61" s="63">
        <v>50</v>
      </c>
    </row>
    <row r="62" spans="1:6" x14ac:dyDescent="0.2">
      <c r="A62" s="18"/>
      <c r="B62" s="6" t="s">
        <v>1099</v>
      </c>
      <c r="C62" s="73">
        <f>SUM(C31:C61)</f>
        <v>1818056.1300000004</v>
      </c>
      <c r="D62" s="63">
        <f>SUM(D31:D61)</f>
        <v>2140260.2299999995</v>
      </c>
      <c r="E62" s="73">
        <f>SUM(E31:E61)</f>
        <v>1768650</v>
      </c>
      <c r="F62" s="73">
        <f>SUM(F31:F61)</f>
        <v>1768650</v>
      </c>
    </row>
    <row r="63" spans="1:6" x14ac:dyDescent="0.2">
      <c r="A63" s="18"/>
      <c r="B63" s="4" t="s">
        <v>638</v>
      </c>
      <c r="C63" s="75" t="s">
        <v>1410</v>
      </c>
      <c r="D63" s="230" t="s">
        <v>1410</v>
      </c>
      <c r="E63" s="75" t="s">
        <v>1410</v>
      </c>
      <c r="F63" s="75" t="s">
        <v>1410</v>
      </c>
    </row>
    <row r="64" spans="1:6" x14ac:dyDescent="0.2">
      <c r="A64" s="18"/>
      <c r="B64" s="4" t="s">
        <v>960</v>
      </c>
      <c r="C64" s="75" t="s">
        <v>1410</v>
      </c>
      <c r="D64" s="230" t="s">
        <v>1410</v>
      </c>
      <c r="E64" s="75" t="s">
        <v>1410</v>
      </c>
      <c r="F64" s="75" t="s">
        <v>1410</v>
      </c>
    </row>
    <row r="65" spans="1:7" x14ac:dyDescent="0.2">
      <c r="A65" s="18"/>
      <c r="B65" s="4" t="s">
        <v>299</v>
      </c>
      <c r="C65" s="75" t="s">
        <v>1410</v>
      </c>
      <c r="D65" s="230" t="s">
        <v>1410</v>
      </c>
      <c r="E65" s="75" t="s">
        <v>1410</v>
      </c>
      <c r="F65" s="75" t="s">
        <v>1410</v>
      </c>
    </row>
    <row r="66" spans="1:7" x14ac:dyDescent="0.2">
      <c r="A66" s="18"/>
      <c r="C66" s="77" t="str">
        <f>+$C$4</f>
        <v>2018 ACTUAL</v>
      </c>
      <c r="D66" s="266" t="str">
        <f>+D$4</f>
        <v>2019 ACTUAL</v>
      </c>
      <c r="E66" s="77" t="str">
        <f>+E$4</f>
        <v>2020 BUDGET</v>
      </c>
      <c r="F66" s="77" t="str">
        <f>+F$4</f>
        <v>2021 BUDGET</v>
      </c>
    </row>
    <row r="67" spans="1:7" x14ac:dyDescent="0.2">
      <c r="A67" s="18" t="s">
        <v>961</v>
      </c>
      <c r="B67" s="4" t="s">
        <v>953</v>
      </c>
    </row>
    <row r="68" spans="1:7" x14ac:dyDescent="0.2">
      <c r="A68" s="18"/>
      <c r="B68" s="253" t="s">
        <v>1854</v>
      </c>
    </row>
    <row r="69" spans="1:7" x14ac:dyDescent="0.2">
      <c r="A69" s="18" t="s">
        <v>727</v>
      </c>
      <c r="B69" s="255" t="s">
        <v>1868</v>
      </c>
      <c r="C69" s="66">
        <v>740</v>
      </c>
      <c r="D69" s="67">
        <v>310</v>
      </c>
      <c r="E69" s="66">
        <v>700</v>
      </c>
      <c r="F69" s="66">
        <v>700</v>
      </c>
    </row>
    <row r="70" spans="1:7" x14ac:dyDescent="0.2">
      <c r="A70" s="18" t="s">
        <v>728</v>
      </c>
      <c r="B70" s="255" t="s">
        <v>1869</v>
      </c>
      <c r="C70" s="67">
        <v>830.02</v>
      </c>
      <c r="D70" s="67">
        <v>508.57</v>
      </c>
      <c r="E70" s="67">
        <v>800</v>
      </c>
      <c r="F70" s="67">
        <v>800</v>
      </c>
    </row>
    <row r="71" spans="1:7" x14ac:dyDescent="0.2">
      <c r="A71" s="18" t="s">
        <v>729</v>
      </c>
      <c r="B71" s="255" t="s">
        <v>1870</v>
      </c>
      <c r="C71" s="67">
        <v>2576.92</v>
      </c>
      <c r="D71" s="67">
        <v>2172.1799999999998</v>
      </c>
      <c r="E71" s="67">
        <v>2000</v>
      </c>
      <c r="F71" s="67">
        <v>2000</v>
      </c>
    </row>
    <row r="72" spans="1:7" x14ac:dyDescent="0.2">
      <c r="A72" s="18" t="s">
        <v>730</v>
      </c>
      <c r="B72" s="256" t="s">
        <v>1871</v>
      </c>
      <c r="C72" s="67"/>
      <c r="D72" s="67">
        <v>20</v>
      </c>
      <c r="E72" s="67">
        <v>50</v>
      </c>
      <c r="F72" s="67">
        <v>50</v>
      </c>
    </row>
    <row r="73" spans="1:7" x14ac:dyDescent="0.2">
      <c r="A73" s="18"/>
      <c r="B73" s="253" t="s">
        <v>1857</v>
      </c>
      <c r="C73" s="67"/>
      <c r="E73" s="67"/>
      <c r="F73" s="67"/>
    </row>
    <row r="74" spans="1:7" x14ac:dyDescent="0.2">
      <c r="A74" s="18" t="s">
        <v>731</v>
      </c>
      <c r="B74" s="255" t="s">
        <v>1868</v>
      </c>
      <c r="C74" s="67">
        <v>1650</v>
      </c>
      <c r="D74" s="67">
        <v>1090</v>
      </c>
      <c r="E74" s="67">
        <v>1000</v>
      </c>
      <c r="F74" s="67">
        <v>1000</v>
      </c>
    </row>
    <row r="75" spans="1:7" x14ac:dyDescent="0.2">
      <c r="A75" s="18" t="s">
        <v>732</v>
      </c>
      <c r="B75" s="255" t="s">
        <v>1869</v>
      </c>
      <c r="C75" s="67">
        <v>984.53</v>
      </c>
      <c r="D75" s="67">
        <v>662.84</v>
      </c>
      <c r="E75" s="67">
        <v>1000</v>
      </c>
      <c r="F75" s="67">
        <v>1000</v>
      </c>
    </row>
    <row r="76" spans="1:7" x14ac:dyDescent="0.2">
      <c r="A76" s="18" t="s">
        <v>733</v>
      </c>
      <c r="B76" s="255" t="s">
        <v>1870</v>
      </c>
      <c r="C76" s="67">
        <v>2526.94</v>
      </c>
      <c r="D76" s="67">
        <v>1961.13</v>
      </c>
      <c r="E76" s="67">
        <v>2000</v>
      </c>
      <c r="F76" s="67">
        <v>2000</v>
      </c>
    </row>
    <row r="77" spans="1:7" x14ac:dyDescent="0.2">
      <c r="A77" s="18" t="s">
        <v>734</v>
      </c>
      <c r="B77" s="256" t="s">
        <v>1871</v>
      </c>
      <c r="C77" s="67"/>
      <c r="D77" s="67">
        <v>1540</v>
      </c>
      <c r="E77" s="67">
        <v>50</v>
      </c>
      <c r="F77" s="67">
        <v>50</v>
      </c>
    </row>
    <row r="78" spans="1:7" x14ac:dyDescent="0.2">
      <c r="A78" s="18"/>
      <c r="B78" s="253" t="s">
        <v>1855</v>
      </c>
      <c r="C78" s="67"/>
      <c r="E78" s="67"/>
      <c r="F78" s="67"/>
      <c r="G78" s="243"/>
    </row>
    <row r="79" spans="1:7" x14ac:dyDescent="0.2">
      <c r="A79" s="18" t="s">
        <v>742</v>
      </c>
      <c r="B79" s="255" t="s">
        <v>1868</v>
      </c>
      <c r="C79" s="67">
        <v>1260</v>
      </c>
      <c r="D79" s="67">
        <v>760</v>
      </c>
      <c r="E79" s="67">
        <v>1200</v>
      </c>
      <c r="F79" s="67">
        <v>1200</v>
      </c>
      <c r="G79" s="243"/>
    </row>
    <row r="80" spans="1:7" x14ac:dyDescent="0.2">
      <c r="A80" s="18" t="s">
        <v>743</v>
      </c>
      <c r="B80" s="255" t="s">
        <v>1869</v>
      </c>
      <c r="C80" s="67">
        <v>4296.53</v>
      </c>
      <c r="D80" s="67">
        <v>2739.44</v>
      </c>
      <c r="E80" s="67">
        <v>3500</v>
      </c>
      <c r="F80" s="67">
        <v>3500</v>
      </c>
      <c r="G80" s="243"/>
    </row>
    <row r="81" spans="1:7" x14ac:dyDescent="0.2">
      <c r="A81" s="18" t="s">
        <v>744</v>
      </c>
      <c r="B81" s="255" t="s">
        <v>1870</v>
      </c>
      <c r="C81" s="67">
        <v>7796.75</v>
      </c>
      <c r="D81" s="67">
        <v>6376.94</v>
      </c>
      <c r="E81" s="67">
        <v>6500</v>
      </c>
      <c r="F81" s="67">
        <v>6500</v>
      </c>
      <c r="G81" s="243"/>
    </row>
    <row r="82" spans="1:7" x14ac:dyDescent="0.2">
      <c r="A82" s="18" t="s">
        <v>1414</v>
      </c>
      <c r="B82" s="256" t="s">
        <v>1871</v>
      </c>
      <c r="C82" s="67"/>
      <c r="D82" s="67">
        <v>20</v>
      </c>
      <c r="E82" s="67">
        <v>25</v>
      </c>
      <c r="F82" s="67">
        <v>25</v>
      </c>
      <c r="G82" s="243"/>
    </row>
    <row r="83" spans="1:7" x14ac:dyDescent="0.2">
      <c r="A83" s="18"/>
      <c r="B83" s="253" t="s">
        <v>1856</v>
      </c>
      <c r="C83" s="67"/>
      <c r="E83" s="67"/>
      <c r="F83" s="67"/>
      <c r="G83" s="243"/>
    </row>
    <row r="84" spans="1:7" x14ac:dyDescent="0.2">
      <c r="A84" s="18" t="s">
        <v>1415</v>
      </c>
      <c r="B84" s="255" t="s">
        <v>1868</v>
      </c>
      <c r="C84" s="67">
        <v>2620</v>
      </c>
      <c r="D84" s="67">
        <v>1580</v>
      </c>
      <c r="E84" s="67">
        <v>2000</v>
      </c>
      <c r="F84" s="67">
        <v>2000</v>
      </c>
      <c r="G84" s="243"/>
    </row>
    <row r="85" spans="1:7" x14ac:dyDescent="0.2">
      <c r="A85" s="18" t="s">
        <v>1416</v>
      </c>
      <c r="B85" s="255" t="s">
        <v>1869</v>
      </c>
      <c r="C85" s="67">
        <v>2815.95</v>
      </c>
      <c r="D85" s="67">
        <v>1612.47</v>
      </c>
      <c r="E85" s="67">
        <v>2500</v>
      </c>
      <c r="F85" s="67">
        <v>2500</v>
      </c>
      <c r="G85" s="243"/>
    </row>
    <row r="86" spans="1:7" x14ac:dyDescent="0.2">
      <c r="A86" s="18" t="s">
        <v>1417</v>
      </c>
      <c r="B86" s="255" t="s">
        <v>1870</v>
      </c>
      <c r="C86" s="67">
        <v>5799.93</v>
      </c>
      <c r="D86" s="67">
        <v>5758.69</v>
      </c>
      <c r="E86" s="67">
        <v>5000</v>
      </c>
      <c r="F86" s="67">
        <v>5000</v>
      </c>
      <c r="G86" s="243"/>
    </row>
    <row r="87" spans="1:7" x14ac:dyDescent="0.2">
      <c r="A87" s="18" t="s">
        <v>1418</v>
      </c>
      <c r="B87" s="256" t="s">
        <v>1871</v>
      </c>
      <c r="C87" s="67">
        <v>20</v>
      </c>
      <c r="D87" s="67">
        <v>8.1</v>
      </c>
      <c r="E87" s="67">
        <v>50</v>
      </c>
      <c r="F87" s="67">
        <v>50</v>
      </c>
      <c r="G87" s="243"/>
    </row>
    <row r="88" spans="1:7" x14ac:dyDescent="0.2">
      <c r="A88" s="18"/>
      <c r="B88" s="6" t="s">
        <v>1099</v>
      </c>
      <c r="C88" s="83">
        <f>SUM(C69:C87)</f>
        <v>33917.57</v>
      </c>
      <c r="D88" s="231">
        <f>SUM(D69:D87)</f>
        <v>27120.36</v>
      </c>
      <c r="E88" s="83">
        <f>SUM(E69:E87)</f>
        <v>28375</v>
      </c>
      <c r="F88" s="83">
        <f>SUM(F69:F87)</f>
        <v>28375</v>
      </c>
      <c r="G88" s="243"/>
    </row>
    <row r="89" spans="1:7" x14ac:dyDescent="0.2">
      <c r="G89" s="243"/>
    </row>
    <row r="90" spans="1:7" x14ac:dyDescent="0.2">
      <c r="A90" s="18" t="s">
        <v>962</v>
      </c>
      <c r="B90" s="4" t="s">
        <v>1557</v>
      </c>
    </row>
    <row r="91" spans="1:7" x14ac:dyDescent="0.2">
      <c r="A91" s="18" t="s">
        <v>1419</v>
      </c>
      <c r="B91" s="253" t="s">
        <v>1746</v>
      </c>
      <c r="C91" s="74">
        <v>141329.56</v>
      </c>
      <c r="D91" s="82">
        <v>286590.89</v>
      </c>
      <c r="E91" s="74">
        <v>290000</v>
      </c>
      <c r="F91" s="74">
        <v>250000</v>
      </c>
    </row>
    <row r="92" spans="1:7" x14ac:dyDescent="0.2">
      <c r="A92" s="18" t="s">
        <v>1420</v>
      </c>
      <c r="B92" s="253" t="s">
        <v>1872</v>
      </c>
      <c r="C92" s="82">
        <v>791.21</v>
      </c>
      <c r="D92" s="82">
        <v>17331.41</v>
      </c>
      <c r="E92" s="82">
        <v>2000</v>
      </c>
      <c r="F92" s="82">
        <v>10000</v>
      </c>
    </row>
    <row r="93" spans="1:7" x14ac:dyDescent="0.2">
      <c r="A93" s="18" t="s">
        <v>757</v>
      </c>
      <c r="B93" s="253" t="s">
        <v>1873</v>
      </c>
      <c r="C93" s="82">
        <v>38177.33</v>
      </c>
      <c r="D93" s="82">
        <v>47640.71</v>
      </c>
      <c r="E93" s="82">
        <v>35000</v>
      </c>
      <c r="F93" s="82">
        <v>45000</v>
      </c>
    </row>
    <row r="94" spans="1:7" x14ac:dyDescent="0.2">
      <c r="A94" s="18" t="s">
        <v>1421</v>
      </c>
      <c r="B94" s="253" t="s">
        <v>1874</v>
      </c>
      <c r="C94" s="67">
        <v>0</v>
      </c>
      <c r="D94" s="67">
        <v>0</v>
      </c>
      <c r="E94" s="67">
        <v>0</v>
      </c>
      <c r="F94" s="67">
        <v>0</v>
      </c>
    </row>
    <row r="95" spans="1:7" x14ac:dyDescent="0.2">
      <c r="A95" s="18" t="s">
        <v>817</v>
      </c>
      <c r="B95" s="253" t="s">
        <v>1875</v>
      </c>
      <c r="C95" s="90">
        <v>14077.8</v>
      </c>
      <c r="D95" s="90">
        <v>8866.4500000000007</v>
      </c>
      <c r="E95" s="90">
        <v>10000</v>
      </c>
      <c r="F95" s="90">
        <v>6000</v>
      </c>
    </row>
    <row r="96" spans="1:7" x14ac:dyDescent="0.2">
      <c r="A96" s="18" t="s">
        <v>758</v>
      </c>
      <c r="B96" s="253" t="s">
        <v>1876</v>
      </c>
      <c r="C96" s="90">
        <v>14538</v>
      </c>
      <c r="D96" s="90">
        <v>20700</v>
      </c>
      <c r="E96" s="90">
        <v>14000</v>
      </c>
      <c r="F96" s="90">
        <v>8000</v>
      </c>
    </row>
    <row r="97" spans="1:7" x14ac:dyDescent="0.2">
      <c r="A97" s="18" t="s">
        <v>1422</v>
      </c>
      <c r="B97" s="253" t="s">
        <v>1877</v>
      </c>
      <c r="C97" s="67">
        <v>0</v>
      </c>
      <c r="D97" s="67">
        <v>0</v>
      </c>
      <c r="E97" s="67">
        <v>0</v>
      </c>
      <c r="F97" s="67">
        <v>0</v>
      </c>
    </row>
    <row r="98" spans="1:7" x14ac:dyDescent="0.2">
      <c r="A98" s="18" t="s">
        <v>1423</v>
      </c>
      <c r="B98" s="253" t="s">
        <v>1878</v>
      </c>
      <c r="C98" s="82">
        <v>91027.56</v>
      </c>
      <c r="D98" s="82">
        <v>120437.17</v>
      </c>
      <c r="E98" s="82">
        <v>80000</v>
      </c>
      <c r="F98" s="82">
        <v>95000</v>
      </c>
    </row>
    <row r="99" spans="1:7" x14ac:dyDescent="0.2">
      <c r="A99" s="18" t="s">
        <v>760</v>
      </c>
      <c r="B99" s="262" t="s">
        <v>1879</v>
      </c>
      <c r="C99" s="96">
        <v>0</v>
      </c>
      <c r="D99" s="96">
        <v>0</v>
      </c>
      <c r="E99" s="96">
        <v>0</v>
      </c>
      <c r="F99" s="96">
        <v>0</v>
      </c>
    </row>
    <row r="100" spans="1:7" x14ac:dyDescent="0.2">
      <c r="A100" s="18" t="s">
        <v>399</v>
      </c>
      <c r="B100" s="253" t="s">
        <v>1880</v>
      </c>
      <c r="C100" s="82">
        <v>28042.81</v>
      </c>
      <c r="D100" s="82">
        <v>35323.129999999997</v>
      </c>
      <c r="E100" s="82">
        <v>28000</v>
      </c>
      <c r="F100" s="82">
        <v>28000</v>
      </c>
    </row>
    <row r="101" spans="1:7" x14ac:dyDescent="0.2">
      <c r="A101" s="129" t="s">
        <v>1692</v>
      </c>
      <c r="B101" s="254" t="s">
        <v>1881</v>
      </c>
      <c r="C101" s="82">
        <v>52701.77</v>
      </c>
      <c r="D101" s="82">
        <v>72473.240000000005</v>
      </c>
      <c r="E101" s="82">
        <v>40000</v>
      </c>
      <c r="F101" s="82">
        <v>40000</v>
      </c>
    </row>
    <row r="102" spans="1:7" x14ac:dyDescent="0.2">
      <c r="A102" s="18" t="s">
        <v>1424</v>
      </c>
      <c r="B102" s="253" t="s">
        <v>1882</v>
      </c>
      <c r="C102" s="54">
        <v>80245.67</v>
      </c>
      <c r="D102" s="54">
        <v>69992.070000000007</v>
      </c>
      <c r="E102" s="54">
        <v>60000</v>
      </c>
      <c r="F102" s="54">
        <v>25000</v>
      </c>
      <c r="G102" s="62"/>
    </row>
    <row r="103" spans="1:7" x14ac:dyDescent="0.2">
      <c r="A103" s="18" t="s">
        <v>76</v>
      </c>
      <c r="B103" s="262" t="s">
        <v>1883</v>
      </c>
      <c r="C103" s="54">
        <v>1900</v>
      </c>
      <c r="D103" s="54">
        <v>250</v>
      </c>
      <c r="E103" s="54">
        <v>2000</v>
      </c>
      <c r="F103" s="54">
        <v>1000</v>
      </c>
    </row>
    <row r="104" spans="1:7" x14ac:dyDescent="0.2">
      <c r="A104" s="18" t="s">
        <v>465</v>
      </c>
      <c r="B104" s="262" t="s">
        <v>1884</v>
      </c>
      <c r="C104" s="54">
        <v>0</v>
      </c>
      <c r="D104" s="54">
        <v>0</v>
      </c>
      <c r="E104" s="54">
        <v>0</v>
      </c>
      <c r="F104" s="54">
        <v>0</v>
      </c>
    </row>
    <row r="105" spans="1:7" x14ac:dyDescent="0.2">
      <c r="A105" s="79" t="s">
        <v>761</v>
      </c>
      <c r="B105" s="262" t="s">
        <v>1885</v>
      </c>
      <c r="C105" s="96">
        <v>120588.06</v>
      </c>
      <c r="D105" s="96">
        <v>33989.21</v>
      </c>
      <c r="E105" s="96">
        <v>15000</v>
      </c>
      <c r="F105" s="96">
        <v>15000</v>
      </c>
    </row>
    <row r="106" spans="1:7" x14ac:dyDescent="0.2">
      <c r="B106" s="6" t="s">
        <v>1099</v>
      </c>
      <c r="C106" s="69">
        <f>SUM(C91:C105)</f>
        <v>583419.77</v>
      </c>
      <c r="D106" s="87">
        <f>SUM(D91:D105)</f>
        <v>713594.28</v>
      </c>
      <c r="E106" s="69">
        <f>SUM(E91:E105)</f>
        <v>576000</v>
      </c>
      <c r="F106" s="69">
        <f>SUM(F91:F105)</f>
        <v>523000</v>
      </c>
    </row>
    <row r="108" spans="1:7" x14ac:dyDescent="0.2">
      <c r="A108" s="37">
        <v>100.4</v>
      </c>
      <c r="B108" s="4" t="s">
        <v>1829</v>
      </c>
      <c r="C108" s="72"/>
      <c r="D108" s="54"/>
      <c r="E108" s="72"/>
      <c r="F108" s="72"/>
    </row>
    <row r="109" spans="1:7" x14ac:dyDescent="0.2">
      <c r="A109" s="37" t="s">
        <v>1830</v>
      </c>
      <c r="B109" s="253" t="s">
        <v>1886</v>
      </c>
      <c r="C109" s="82">
        <v>0</v>
      </c>
      <c r="D109" s="82">
        <v>0</v>
      </c>
      <c r="E109" s="63">
        <f>200000</f>
        <v>200000</v>
      </c>
      <c r="F109" s="82">
        <v>0</v>
      </c>
    </row>
    <row r="110" spans="1:7" x14ac:dyDescent="0.2">
      <c r="A110" s="37"/>
      <c r="B110" s="6"/>
      <c r="C110" s="263">
        <f t="shared" ref="C110:F110" si="0">+C109</f>
        <v>0</v>
      </c>
      <c r="D110" s="263">
        <f t="shared" si="0"/>
        <v>0</v>
      </c>
      <c r="E110" s="263">
        <f t="shared" si="0"/>
        <v>200000</v>
      </c>
      <c r="F110" s="263">
        <f t="shared" si="0"/>
        <v>0</v>
      </c>
    </row>
    <row r="111" spans="1:7" x14ac:dyDescent="0.2">
      <c r="B111" s="6"/>
      <c r="C111" s="72"/>
      <c r="D111" s="54"/>
      <c r="E111" s="72"/>
      <c r="F111" s="72"/>
    </row>
    <row r="112" spans="1:7" ht="13.5" thickBot="1" x14ac:dyDescent="0.25">
      <c r="B112" s="6" t="s">
        <v>129</v>
      </c>
      <c r="C112" s="70">
        <f>C8+C15+C28+C62+C88+C106+C110</f>
        <v>20408361.269999996</v>
      </c>
      <c r="D112" s="70">
        <f>D8+D15+D28+D62+D88+D106+D110</f>
        <v>21181433.09</v>
      </c>
      <c r="E112" s="70">
        <f>E8+E15+E28+E62+E88+E106+E110</f>
        <v>21292046</v>
      </c>
      <c r="F112" s="70">
        <f>F8+F15+F28+F62+F88+F106+F110</f>
        <v>21490680.255520102</v>
      </c>
    </row>
    <row r="113" spans="1:7" ht="13.5" thickTop="1" x14ac:dyDescent="0.2">
      <c r="B113" s="6"/>
      <c r="C113" s="72"/>
      <c r="D113" s="54"/>
      <c r="E113" s="72"/>
      <c r="F113" s="72"/>
    </row>
    <row r="114" spans="1:7" x14ac:dyDescent="0.2">
      <c r="B114" s="4" t="s">
        <v>638</v>
      </c>
      <c r="C114" s="75" t="s">
        <v>1410</v>
      </c>
      <c r="D114" s="230" t="s">
        <v>1410</v>
      </c>
      <c r="E114" s="274"/>
      <c r="F114" s="75" t="s">
        <v>1410</v>
      </c>
    </row>
    <row r="115" spans="1:7" x14ac:dyDescent="0.2">
      <c r="B115" s="4" t="s">
        <v>963</v>
      </c>
      <c r="C115" s="75" t="s">
        <v>1410</v>
      </c>
      <c r="D115" s="230" t="s">
        <v>1410</v>
      </c>
      <c r="E115" s="75" t="s">
        <v>1410</v>
      </c>
      <c r="F115" s="75" t="s">
        <v>1410</v>
      </c>
    </row>
    <row r="116" spans="1:7" x14ac:dyDescent="0.2">
      <c r="B116" s="4" t="s">
        <v>130</v>
      </c>
      <c r="C116" s="75" t="s">
        <v>1410</v>
      </c>
      <c r="D116" s="230" t="s">
        <v>1410</v>
      </c>
      <c r="E116" s="75" t="s">
        <v>1410</v>
      </c>
      <c r="F116" s="75" t="s">
        <v>1410</v>
      </c>
    </row>
    <row r="117" spans="1:7" x14ac:dyDescent="0.2">
      <c r="A117" s="18"/>
      <c r="C117" s="77" t="str">
        <f>+$C$4</f>
        <v>2018 ACTUAL</v>
      </c>
      <c r="D117" s="266" t="str">
        <f>+D$4</f>
        <v>2019 ACTUAL</v>
      </c>
      <c r="E117" s="77" t="str">
        <f>+E$4</f>
        <v>2020 BUDGET</v>
      </c>
      <c r="F117" s="77" t="str">
        <f>+F$4</f>
        <v>2021 BUDGET</v>
      </c>
    </row>
    <row r="118" spans="1:7" x14ac:dyDescent="0.2">
      <c r="A118" s="264">
        <v>100.4</v>
      </c>
      <c r="B118" s="4" t="s">
        <v>1829</v>
      </c>
      <c r="C118" s="72"/>
      <c r="D118" s="54"/>
      <c r="E118" s="72"/>
      <c r="F118" s="72"/>
    </row>
    <row r="119" spans="1:7" x14ac:dyDescent="0.2">
      <c r="A119" s="37" t="s">
        <v>1830</v>
      </c>
      <c r="B119" s="254" t="s">
        <v>1887</v>
      </c>
      <c r="C119" s="82">
        <v>0</v>
      </c>
      <c r="D119" s="82">
        <v>397012.71</v>
      </c>
      <c r="E119" s="63">
        <v>60000</v>
      </c>
      <c r="F119" s="82">
        <v>60000</v>
      </c>
    </row>
    <row r="120" spans="1:7" x14ac:dyDescent="0.2">
      <c r="A120" s="37"/>
      <c r="B120" s="6"/>
      <c r="C120" s="263">
        <f t="shared" ref="C120" si="1">+C119</f>
        <v>0</v>
      </c>
      <c r="D120" s="263">
        <f t="shared" ref="D120" si="2">+D119</f>
        <v>397012.71</v>
      </c>
      <c r="E120" s="263">
        <f t="shared" ref="E120" si="3">+E119</f>
        <v>60000</v>
      </c>
      <c r="F120" s="263">
        <f t="shared" ref="F120" si="4">+F119</f>
        <v>60000</v>
      </c>
    </row>
    <row r="121" spans="1:7" x14ac:dyDescent="0.2">
      <c r="A121" s="37"/>
      <c r="B121" s="6"/>
      <c r="C121" s="16"/>
      <c r="D121" s="16"/>
      <c r="E121" s="16"/>
      <c r="F121" s="16"/>
    </row>
    <row r="122" spans="1:7" x14ac:dyDescent="0.2">
      <c r="A122" s="59" t="s">
        <v>1328</v>
      </c>
      <c r="B122" s="4" t="s">
        <v>131</v>
      </c>
    </row>
    <row r="123" spans="1:7" x14ac:dyDescent="0.2">
      <c r="A123" s="18" t="s">
        <v>1329</v>
      </c>
      <c r="B123" s="254" t="s">
        <v>1888</v>
      </c>
      <c r="C123" s="66">
        <v>57299.06</v>
      </c>
      <c r="D123" s="67">
        <v>58099.08</v>
      </c>
      <c r="E123" s="66">
        <v>58899</v>
      </c>
      <c r="F123" s="66">
        <v>60099</v>
      </c>
      <c r="G123" s="8"/>
    </row>
    <row r="124" spans="1:7" x14ac:dyDescent="0.2">
      <c r="A124" s="18" t="s">
        <v>1330</v>
      </c>
      <c r="B124" s="254" t="s">
        <v>1889</v>
      </c>
      <c r="C124" s="67">
        <v>43852.12</v>
      </c>
      <c r="D124" s="67">
        <v>45667.96</v>
      </c>
      <c r="E124" s="67">
        <v>46468</v>
      </c>
      <c r="F124" s="67">
        <v>47668</v>
      </c>
    </row>
    <row r="125" spans="1:7" x14ac:dyDescent="0.2">
      <c r="A125" s="18" t="s">
        <v>701</v>
      </c>
      <c r="B125" s="254" t="s">
        <v>1890</v>
      </c>
      <c r="C125" s="34">
        <v>25199.98</v>
      </c>
      <c r="D125" s="34">
        <v>25199.98</v>
      </c>
      <c r="E125" s="34">
        <v>25200</v>
      </c>
      <c r="F125" s="34">
        <v>25200</v>
      </c>
    </row>
    <row r="126" spans="1:7" x14ac:dyDescent="0.2">
      <c r="A126" s="18" t="s">
        <v>1629</v>
      </c>
      <c r="B126" s="254" t="s">
        <v>1891</v>
      </c>
      <c r="C126" s="67">
        <v>0</v>
      </c>
      <c r="D126" s="67">
        <v>0</v>
      </c>
      <c r="E126" s="67">
        <v>0</v>
      </c>
      <c r="F126" s="67">
        <v>0</v>
      </c>
    </row>
    <row r="127" spans="1:7" x14ac:dyDescent="0.2">
      <c r="A127" s="18" t="s">
        <v>1069</v>
      </c>
      <c r="B127" s="254" t="s">
        <v>1892</v>
      </c>
      <c r="C127" s="67">
        <v>6743.62</v>
      </c>
      <c r="D127" s="67">
        <v>4946.12</v>
      </c>
      <c r="E127" s="67">
        <v>17978</v>
      </c>
      <c r="F127" s="67">
        <v>19656</v>
      </c>
    </row>
    <row r="128" spans="1:7" x14ac:dyDescent="0.2">
      <c r="A128" s="18" t="s">
        <v>702</v>
      </c>
      <c r="B128" s="254" t="s">
        <v>1893</v>
      </c>
      <c r="C128" s="67">
        <v>1797.67</v>
      </c>
      <c r="D128" s="67">
        <v>1818.43</v>
      </c>
      <c r="E128" s="67">
        <v>1500</v>
      </c>
      <c r="F128" s="67">
        <v>1500</v>
      </c>
    </row>
    <row r="129" spans="1:6" x14ac:dyDescent="0.2">
      <c r="A129" s="18" t="s">
        <v>1782</v>
      </c>
      <c r="B129" s="254" t="s">
        <v>1894</v>
      </c>
      <c r="C129" s="67">
        <v>5000.0600000000004</v>
      </c>
      <c r="D129" s="67">
        <v>5000.0600000000004</v>
      </c>
      <c r="E129" s="67">
        <v>5000</v>
      </c>
      <c r="F129" s="67">
        <v>7500</v>
      </c>
    </row>
    <row r="130" spans="1:6" x14ac:dyDescent="0.2">
      <c r="A130" s="18" t="s">
        <v>703</v>
      </c>
      <c r="B130" s="254" t="s">
        <v>1895</v>
      </c>
      <c r="C130" s="67">
        <v>10370.73</v>
      </c>
      <c r="D130" s="67">
        <v>10730.03</v>
      </c>
      <c r="E130" s="67">
        <v>12894</v>
      </c>
      <c r="F130" s="67">
        <v>13398</v>
      </c>
    </row>
    <row r="131" spans="1:6" x14ac:dyDescent="0.2">
      <c r="A131" s="18" t="s">
        <v>704</v>
      </c>
      <c r="B131" s="254" t="s">
        <v>1896</v>
      </c>
      <c r="C131" s="67">
        <v>16005.26</v>
      </c>
      <c r="D131" s="67">
        <v>16298.71</v>
      </c>
      <c r="E131" s="67">
        <v>19766</v>
      </c>
      <c r="F131" s="67">
        <v>20810</v>
      </c>
    </row>
    <row r="132" spans="1:6" x14ac:dyDescent="0.2">
      <c r="A132" s="18" t="s">
        <v>705</v>
      </c>
      <c r="B132" s="254" t="s">
        <v>1897</v>
      </c>
      <c r="C132" s="34">
        <v>13314.94</v>
      </c>
      <c r="D132" s="34">
        <v>13085.62</v>
      </c>
      <c r="E132" s="34">
        <f>15600+156</f>
        <v>15756</v>
      </c>
      <c r="F132" s="34">
        <f>15600+156</f>
        <v>15756</v>
      </c>
    </row>
    <row r="133" spans="1:6" x14ac:dyDescent="0.2">
      <c r="A133" s="18" t="s">
        <v>502</v>
      </c>
      <c r="B133" s="254" t="s">
        <v>1898</v>
      </c>
      <c r="C133" s="34">
        <v>1290.1199999999999</v>
      </c>
      <c r="D133" s="34">
        <v>1290.1199999999999</v>
      </c>
      <c r="E133" s="34">
        <v>1290</v>
      </c>
      <c r="F133" s="34">
        <v>1290</v>
      </c>
    </row>
    <row r="134" spans="1:6" x14ac:dyDescent="0.2">
      <c r="A134" s="18" t="s">
        <v>706</v>
      </c>
      <c r="B134" s="254" t="s">
        <v>1899</v>
      </c>
      <c r="C134" s="67">
        <v>1643.82</v>
      </c>
      <c r="D134" s="67">
        <v>2826.34</v>
      </c>
      <c r="E134" s="67">
        <v>2000</v>
      </c>
      <c r="F134" s="67">
        <v>2000</v>
      </c>
    </row>
    <row r="135" spans="1:6" x14ac:dyDescent="0.2">
      <c r="A135" s="18" t="s">
        <v>707</v>
      </c>
      <c r="B135" s="254" t="s">
        <v>1900</v>
      </c>
      <c r="C135" s="67">
        <v>245.88</v>
      </c>
      <c r="D135" s="67">
        <v>340.1</v>
      </c>
      <c r="E135" s="67">
        <v>300</v>
      </c>
      <c r="F135" s="67">
        <v>300</v>
      </c>
    </row>
    <row r="136" spans="1:6" x14ac:dyDescent="0.2">
      <c r="A136" s="18" t="s">
        <v>708</v>
      </c>
      <c r="B136" s="254" t="s">
        <v>1901</v>
      </c>
      <c r="C136" s="67">
        <v>960</v>
      </c>
      <c r="D136" s="67">
        <v>960</v>
      </c>
      <c r="E136" s="67">
        <v>960</v>
      </c>
      <c r="F136" s="67">
        <v>1600</v>
      </c>
    </row>
    <row r="137" spans="1:6" x14ac:dyDescent="0.2">
      <c r="A137" s="18" t="s">
        <v>709</v>
      </c>
      <c r="B137" s="254" t="s">
        <v>1902</v>
      </c>
      <c r="C137" s="67">
        <v>7560.25</v>
      </c>
      <c r="D137" s="67">
        <v>7795.6</v>
      </c>
      <c r="E137" s="67">
        <v>9100</v>
      </c>
      <c r="F137" s="67">
        <v>8000</v>
      </c>
    </row>
    <row r="138" spans="1:6" x14ac:dyDescent="0.2">
      <c r="A138" s="18" t="s">
        <v>710</v>
      </c>
      <c r="B138" s="254" t="s">
        <v>1903</v>
      </c>
      <c r="C138" s="67">
        <v>297</v>
      </c>
      <c r="D138" s="67">
        <v>1243</v>
      </c>
      <c r="E138" s="67">
        <v>100</v>
      </c>
      <c r="F138" s="67">
        <v>100</v>
      </c>
    </row>
    <row r="139" spans="1:6" x14ac:dyDescent="0.2">
      <c r="A139" s="18" t="s">
        <v>711</v>
      </c>
      <c r="B139" s="254" t="s">
        <v>1904</v>
      </c>
      <c r="C139" s="84">
        <v>0</v>
      </c>
      <c r="D139" s="84">
        <v>546.73</v>
      </c>
      <c r="E139" s="84">
        <v>1200</v>
      </c>
      <c r="F139" s="84">
        <v>1500</v>
      </c>
    </row>
    <row r="140" spans="1:6" x14ac:dyDescent="0.2">
      <c r="A140" s="18" t="s">
        <v>1410</v>
      </c>
      <c r="B140" s="6" t="s">
        <v>1099</v>
      </c>
      <c r="C140" s="69">
        <f>SUM(C123:C139)</f>
        <v>191580.51000000004</v>
      </c>
      <c r="D140" s="87">
        <f>SUM(D123:D139)</f>
        <v>195847.88</v>
      </c>
      <c r="E140" s="69">
        <f>SUM(E123:E139)</f>
        <v>218411</v>
      </c>
      <c r="F140" s="69">
        <f>SUM(F123:F139)</f>
        <v>226377</v>
      </c>
    </row>
    <row r="141" spans="1:6" x14ac:dyDescent="0.2">
      <c r="A141" t="s">
        <v>1410</v>
      </c>
    </row>
    <row r="142" spans="1:6" x14ac:dyDescent="0.2">
      <c r="A142" s="59" t="s">
        <v>712</v>
      </c>
      <c r="B142" s="4" t="s">
        <v>133</v>
      </c>
    </row>
    <row r="143" spans="1:6" x14ac:dyDescent="0.2">
      <c r="A143" s="18" t="s">
        <v>713</v>
      </c>
      <c r="B143" s="254" t="s">
        <v>1888</v>
      </c>
      <c r="C143" s="66">
        <v>192820.16</v>
      </c>
      <c r="D143" s="67">
        <v>196020.24</v>
      </c>
      <c r="E143" s="66">
        <f>49805*4</f>
        <v>199220</v>
      </c>
      <c r="F143" s="66">
        <f>51005*4</f>
        <v>204020</v>
      </c>
    </row>
    <row r="144" spans="1:6" x14ac:dyDescent="0.2">
      <c r="A144" s="18" t="s">
        <v>714</v>
      </c>
      <c r="B144" s="254" t="s">
        <v>1889</v>
      </c>
      <c r="C144" s="81">
        <v>31976.1</v>
      </c>
      <c r="D144" s="67">
        <v>32776.120000000003</v>
      </c>
      <c r="E144" s="81">
        <v>34295</v>
      </c>
      <c r="F144" s="81">
        <v>35495</v>
      </c>
    </row>
    <row r="145" spans="1:7" x14ac:dyDescent="0.2">
      <c r="A145" s="18" t="s">
        <v>715</v>
      </c>
      <c r="B145" s="254" t="s">
        <v>1893</v>
      </c>
      <c r="C145" s="67">
        <v>477.65</v>
      </c>
      <c r="D145" s="67">
        <v>1633.71</v>
      </c>
      <c r="E145" s="67">
        <v>1980</v>
      </c>
      <c r="F145" s="67">
        <v>2280</v>
      </c>
    </row>
    <row r="146" spans="1:7" x14ac:dyDescent="0.2">
      <c r="A146" s="18" t="s">
        <v>716</v>
      </c>
      <c r="B146" s="254" t="s">
        <v>1895</v>
      </c>
      <c r="C146" s="67">
        <v>17749.97</v>
      </c>
      <c r="D146" s="67">
        <v>17724.63</v>
      </c>
      <c r="E146" s="67">
        <v>19685</v>
      </c>
      <c r="F146" s="67">
        <v>20167</v>
      </c>
      <c r="G146" s="67"/>
    </row>
    <row r="147" spans="1:7" x14ac:dyDescent="0.2">
      <c r="A147" s="18" t="s">
        <v>717</v>
      </c>
      <c r="B147" s="254" t="s">
        <v>1896</v>
      </c>
      <c r="C147" s="67">
        <v>26381.32</v>
      </c>
      <c r="D147" s="67">
        <v>27342.94</v>
      </c>
      <c r="E147" s="67">
        <v>28966</v>
      </c>
      <c r="F147" s="67">
        <v>30079</v>
      </c>
    </row>
    <row r="148" spans="1:7" x14ac:dyDescent="0.2">
      <c r="A148" s="18" t="s">
        <v>718</v>
      </c>
      <c r="B148" s="254" t="s">
        <v>1897</v>
      </c>
      <c r="C148" s="86">
        <v>26100</v>
      </c>
      <c r="D148" s="34">
        <v>31060</v>
      </c>
      <c r="E148" s="86">
        <f>31200+391</f>
        <v>31591</v>
      </c>
      <c r="F148" s="86">
        <f>31200+391</f>
        <v>31591</v>
      </c>
    </row>
    <row r="149" spans="1:7" x14ac:dyDescent="0.2">
      <c r="A149" s="18" t="s">
        <v>501</v>
      </c>
      <c r="B149" s="254" t="s">
        <v>1898</v>
      </c>
      <c r="C149" s="34">
        <v>21820.240000000002</v>
      </c>
      <c r="D149" s="34">
        <v>21820.240000000002</v>
      </c>
      <c r="E149" s="34">
        <v>21820</v>
      </c>
      <c r="F149" s="34">
        <v>21820</v>
      </c>
    </row>
    <row r="150" spans="1:7" x14ac:dyDescent="0.2">
      <c r="A150" s="18" t="s">
        <v>668</v>
      </c>
      <c r="B150" s="254" t="s">
        <v>1899</v>
      </c>
      <c r="C150" s="67">
        <v>977.99</v>
      </c>
      <c r="D150" s="67">
        <v>1971.56</v>
      </c>
      <c r="E150" s="67">
        <v>3500</v>
      </c>
      <c r="F150" s="67">
        <v>3500</v>
      </c>
    </row>
    <row r="151" spans="1:7" x14ac:dyDescent="0.2">
      <c r="A151" s="18" t="s">
        <v>669</v>
      </c>
      <c r="B151" s="254" t="s">
        <v>1900</v>
      </c>
      <c r="C151" s="67">
        <v>17.03</v>
      </c>
      <c r="D151" s="67">
        <v>2.4500000000000002</v>
      </c>
      <c r="E151" s="67">
        <v>300</v>
      </c>
      <c r="F151" s="67">
        <v>200</v>
      </c>
    </row>
    <row r="152" spans="1:7" x14ac:dyDescent="0.2">
      <c r="A152" s="18" t="s">
        <v>670</v>
      </c>
      <c r="B152" s="254" t="s">
        <v>1901</v>
      </c>
      <c r="C152" s="67">
        <v>0</v>
      </c>
      <c r="D152" s="67">
        <v>0</v>
      </c>
      <c r="E152" s="67">
        <v>0</v>
      </c>
      <c r="F152" s="67">
        <v>0</v>
      </c>
    </row>
    <row r="153" spans="1:7" x14ac:dyDescent="0.2">
      <c r="A153" s="18" t="s">
        <v>671</v>
      </c>
      <c r="B153" s="254" t="s">
        <v>1902</v>
      </c>
      <c r="C153" s="67">
        <v>17991.13</v>
      </c>
      <c r="D153" s="67">
        <v>15168.01</v>
      </c>
      <c r="E153" s="67">
        <v>18000</v>
      </c>
      <c r="F153" s="67">
        <v>18000</v>
      </c>
    </row>
    <row r="154" spans="1:7" x14ac:dyDescent="0.2">
      <c r="A154" s="18" t="s">
        <v>672</v>
      </c>
      <c r="B154" s="254" t="s">
        <v>1903</v>
      </c>
      <c r="C154" s="67">
        <v>0</v>
      </c>
      <c r="D154" s="67">
        <v>712</v>
      </c>
      <c r="E154" s="67">
        <v>0</v>
      </c>
      <c r="F154" s="67">
        <v>712</v>
      </c>
    </row>
    <row r="155" spans="1:7" x14ac:dyDescent="0.2">
      <c r="A155" s="18" t="s">
        <v>673</v>
      </c>
      <c r="B155" s="254" t="s">
        <v>1904</v>
      </c>
      <c r="C155" s="67">
        <v>316.95</v>
      </c>
      <c r="D155" s="67">
        <v>0</v>
      </c>
      <c r="E155" s="67">
        <v>1500</v>
      </c>
      <c r="F155" s="67">
        <v>1500</v>
      </c>
    </row>
    <row r="156" spans="1:7" x14ac:dyDescent="0.2">
      <c r="A156" s="18"/>
      <c r="B156" s="6" t="s">
        <v>1099</v>
      </c>
      <c r="C156" s="69">
        <f>SUM(C143:C155)</f>
        <v>336628.54000000004</v>
      </c>
      <c r="D156" s="87">
        <f>SUM(D143:D155)</f>
        <v>346231.89999999997</v>
      </c>
      <c r="E156" s="69">
        <f>SUM(E143:E155)</f>
        <v>360857</v>
      </c>
      <c r="F156" s="69">
        <f>SUM(F143:F155)</f>
        <v>369364</v>
      </c>
    </row>
    <row r="157" spans="1:7" x14ac:dyDescent="0.2">
      <c r="A157" s="18"/>
      <c r="B157" t="s">
        <v>1410</v>
      </c>
    </row>
    <row r="158" spans="1:7" x14ac:dyDescent="0.2">
      <c r="A158" s="59" t="s">
        <v>674</v>
      </c>
      <c r="B158" s="4" t="s">
        <v>134</v>
      </c>
    </row>
    <row r="159" spans="1:7" x14ac:dyDescent="0.2">
      <c r="A159" s="18" t="s">
        <v>675</v>
      </c>
      <c r="B159" s="254" t="s">
        <v>1888</v>
      </c>
      <c r="C159" s="66">
        <v>48435.92</v>
      </c>
      <c r="D159" s="67">
        <v>49235.94</v>
      </c>
      <c r="E159" s="66">
        <v>50036</v>
      </c>
      <c r="F159" s="66">
        <v>51236</v>
      </c>
    </row>
    <row r="160" spans="1:7" x14ac:dyDescent="0.2">
      <c r="A160" s="18" t="s">
        <v>676</v>
      </c>
      <c r="B160" s="254" t="s">
        <v>1905</v>
      </c>
      <c r="C160" s="34">
        <v>219677.41</v>
      </c>
      <c r="D160" s="34">
        <v>220244.31</v>
      </c>
      <c r="E160" s="80">
        <f>295550-E159-E161</f>
        <v>226799</v>
      </c>
      <c r="F160" s="80">
        <f>307301-F159-F161</f>
        <v>236510</v>
      </c>
    </row>
    <row r="161" spans="1:19" x14ac:dyDescent="0.2">
      <c r="A161" s="18" t="s">
        <v>1247</v>
      </c>
      <c r="B161" s="254" t="s">
        <v>1892</v>
      </c>
      <c r="C161" s="34">
        <v>10026.06</v>
      </c>
      <c r="D161" s="34">
        <v>10983.32</v>
      </c>
      <c r="E161" s="34">
        <v>18715</v>
      </c>
      <c r="F161" s="34">
        <v>19555</v>
      </c>
    </row>
    <row r="162" spans="1:19" x14ac:dyDescent="0.2">
      <c r="A162" s="18" t="s">
        <v>677</v>
      </c>
      <c r="B162" s="254" t="s">
        <v>1893</v>
      </c>
      <c r="C162" s="67">
        <v>3255.89</v>
      </c>
      <c r="D162" s="67">
        <v>3899.94</v>
      </c>
      <c r="E162" s="67">
        <v>3900</v>
      </c>
      <c r="F162" s="67">
        <v>3360</v>
      </c>
    </row>
    <row r="163" spans="1:19" x14ac:dyDescent="0.2">
      <c r="A163" s="18" t="s">
        <v>678</v>
      </c>
      <c r="B163" s="254" t="s">
        <v>1895</v>
      </c>
      <c r="C163" s="34">
        <v>20193.91</v>
      </c>
      <c r="D163" s="34">
        <v>20781.27</v>
      </c>
      <c r="E163" s="34">
        <v>22908</v>
      </c>
      <c r="F163" s="34">
        <v>23766</v>
      </c>
    </row>
    <row r="164" spans="1:19" x14ac:dyDescent="0.2">
      <c r="A164" s="18" t="s">
        <v>679</v>
      </c>
      <c r="B164" s="254" t="s">
        <v>1896</v>
      </c>
      <c r="C164" s="34">
        <v>32764.32</v>
      </c>
      <c r="D164" s="34">
        <v>33593.51</v>
      </c>
      <c r="E164" s="34">
        <v>36832</v>
      </c>
      <c r="F164" s="34">
        <v>38646</v>
      </c>
    </row>
    <row r="165" spans="1:19" x14ac:dyDescent="0.2">
      <c r="A165" s="18" t="s">
        <v>680</v>
      </c>
      <c r="B165" s="254" t="s">
        <v>1897</v>
      </c>
      <c r="C165" s="34">
        <v>51763.47</v>
      </c>
      <c r="D165" s="34">
        <v>54970</v>
      </c>
      <c r="E165" s="34">
        <f>62400+704</f>
        <v>63104</v>
      </c>
      <c r="F165" s="34">
        <f>54600+704</f>
        <v>55304</v>
      </c>
    </row>
    <row r="166" spans="1:19" x14ac:dyDescent="0.2">
      <c r="A166" s="18" t="s">
        <v>681</v>
      </c>
      <c r="B166" s="254" t="s">
        <v>1899</v>
      </c>
      <c r="C166" s="34">
        <v>9802.64</v>
      </c>
      <c r="D166" s="34">
        <v>14999.11</v>
      </c>
      <c r="E166" s="34">
        <v>12000</v>
      </c>
      <c r="F166" s="34">
        <v>11500</v>
      </c>
    </row>
    <row r="167" spans="1:19" x14ac:dyDescent="0.2">
      <c r="A167" s="18" t="s">
        <v>682</v>
      </c>
      <c r="B167" s="254" t="s">
        <v>1900</v>
      </c>
      <c r="C167" s="67">
        <v>4366.17</v>
      </c>
      <c r="D167" s="67">
        <v>5470.78</v>
      </c>
      <c r="E167" s="67">
        <v>5500</v>
      </c>
      <c r="F167" s="67">
        <v>5500</v>
      </c>
      <c r="G167" s="88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</row>
    <row r="168" spans="1:19" x14ac:dyDescent="0.2">
      <c r="A168" s="18" t="s">
        <v>683</v>
      </c>
      <c r="B168" s="254" t="s">
        <v>1902</v>
      </c>
      <c r="C168" s="67">
        <v>3183.28</v>
      </c>
      <c r="D168" s="67">
        <v>4087.77</v>
      </c>
      <c r="E168" s="67">
        <v>5000</v>
      </c>
      <c r="F168" s="67">
        <v>4600</v>
      </c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</row>
    <row r="169" spans="1:19" x14ac:dyDescent="0.2">
      <c r="A169" s="18" t="s">
        <v>158</v>
      </c>
      <c r="B169" s="254" t="s">
        <v>2331</v>
      </c>
      <c r="C169" s="34">
        <v>53382.54</v>
      </c>
      <c r="D169" s="34">
        <v>57790.87</v>
      </c>
      <c r="E169" s="34">
        <v>55000</v>
      </c>
      <c r="F169" s="34">
        <v>56000</v>
      </c>
      <c r="G169" s="223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</row>
    <row r="170" spans="1:19" x14ac:dyDescent="0.2">
      <c r="A170" s="18" t="s">
        <v>42</v>
      </c>
      <c r="B170" s="254" t="s">
        <v>1906</v>
      </c>
      <c r="C170" s="67">
        <v>1681.77</v>
      </c>
      <c r="D170" s="67">
        <v>1906.86</v>
      </c>
      <c r="E170" s="67">
        <v>1700</v>
      </c>
      <c r="F170" s="67">
        <v>1700</v>
      </c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</row>
    <row r="171" spans="1:19" x14ac:dyDescent="0.2">
      <c r="A171" s="18" t="s">
        <v>684</v>
      </c>
      <c r="B171" s="254" t="s">
        <v>1907</v>
      </c>
      <c r="C171" s="34">
        <v>150</v>
      </c>
      <c r="D171" s="34">
        <v>0</v>
      </c>
      <c r="E171" s="34">
        <v>1000</v>
      </c>
      <c r="F171" s="34">
        <v>1000</v>
      </c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</row>
    <row r="172" spans="1:19" x14ac:dyDescent="0.2">
      <c r="A172" s="18" t="s">
        <v>685</v>
      </c>
      <c r="B172" s="254" t="s">
        <v>1903</v>
      </c>
      <c r="C172" s="67">
        <v>0</v>
      </c>
      <c r="D172" s="67">
        <v>2325</v>
      </c>
      <c r="E172" s="67">
        <v>0</v>
      </c>
      <c r="F172" s="67">
        <v>0</v>
      </c>
    </row>
    <row r="173" spans="1:19" x14ac:dyDescent="0.2">
      <c r="A173" s="18" t="s">
        <v>686</v>
      </c>
      <c r="B173" s="254" t="s">
        <v>1904</v>
      </c>
      <c r="C173" s="34">
        <v>796.28</v>
      </c>
      <c r="D173" s="34">
        <v>0</v>
      </c>
      <c r="E173" s="34">
        <v>1500</v>
      </c>
      <c r="F173" s="34">
        <v>2000</v>
      </c>
    </row>
    <row r="174" spans="1:19" x14ac:dyDescent="0.2">
      <c r="A174" s="18"/>
      <c r="B174" s="6" t="s">
        <v>1099</v>
      </c>
      <c r="C174" s="69">
        <f>SUM(C159:C173)</f>
        <v>459479.66000000003</v>
      </c>
      <c r="D174" s="87">
        <f>SUM(D159:D173)</f>
        <v>480288.68000000005</v>
      </c>
      <c r="E174" s="69">
        <f>SUM(E159:E173)</f>
        <v>503994</v>
      </c>
      <c r="F174" s="69">
        <f>SUM(F159:F173)</f>
        <v>510677</v>
      </c>
    </row>
    <row r="175" spans="1:19" x14ac:dyDescent="0.2">
      <c r="A175" s="18"/>
      <c r="B175" s="4" t="s">
        <v>638</v>
      </c>
      <c r="C175" s="75" t="s">
        <v>1410</v>
      </c>
      <c r="D175" s="230" t="s">
        <v>1410</v>
      </c>
      <c r="E175" s="75" t="s">
        <v>1410</v>
      </c>
      <c r="F175" s="75" t="s">
        <v>1410</v>
      </c>
    </row>
    <row r="176" spans="1:19" x14ac:dyDescent="0.2">
      <c r="A176" s="18"/>
      <c r="B176" s="4" t="s">
        <v>963</v>
      </c>
      <c r="C176" s="75" t="s">
        <v>1410</v>
      </c>
      <c r="D176" s="230" t="s">
        <v>1410</v>
      </c>
      <c r="E176" s="75" t="s">
        <v>1410</v>
      </c>
      <c r="F176" s="75" t="s">
        <v>1410</v>
      </c>
    </row>
    <row r="177" spans="1:6" x14ac:dyDescent="0.2">
      <c r="A177" s="18"/>
      <c r="B177" s="4" t="s">
        <v>130</v>
      </c>
      <c r="C177" s="75" t="s">
        <v>1410</v>
      </c>
      <c r="D177" s="230" t="s">
        <v>1410</v>
      </c>
      <c r="E177" s="75" t="s">
        <v>1410</v>
      </c>
      <c r="F177" s="75" t="s">
        <v>1410</v>
      </c>
    </row>
    <row r="178" spans="1:6" x14ac:dyDescent="0.2">
      <c r="A178" s="18"/>
      <c r="C178" s="77" t="str">
        <f>+$C$4</f>
        <v>2018 ACTUAL</v>
      </c>
      <c r="D178" s="266" t="str">
        <f>+D$4</f>
        <v>2019 ACTUAL</v>
      </c>
      <c r="E178" s="77" t="str">
        <f>+E$4</f>
        <v>2020 BUDGET</v>
      </c>
      <c r="F178" s="77" t="str">
        <f>+F$4</f>
        <v>2021 BUDGET</v>
      </c>
    </row>
    <row r="179" spans="1:6" x14ac:dyDescent="0.2">
      <c r="A179" s="59" t="s">
        <v>687</v>
      </c>
      <c r="B179" s="4" t="s">
        <v>135</v>
      </c>
    </row>
    <row r="180" spans="1:6" x14ac:dyDescent="0.2">
      <c r="A180" s="18" t="s">
        <v>688</v>
      </c>
      <c r="B180" s="254" t="s">
        <v>1908</v>
      </c>
      <c r="C180" s="66">
        <v>32695</v>
      </c>
      <c r="D180" s="67">
        <v>34232.120000000003</v>
      </c>
      <c r="E180" s="66">
        <v>35032</v>
      </c>
      <c r="F180" s="66">
        <v>36232</v>
      </c>
    </row>
    <row r="181" spans="1:6" x14ac:dyDescent="0.2">
      <c r="A181" s="18" t="s">
        <v>689</v>
      </c>
      <c r="B181" s="254" t="s">
        <v>1893</v>
      </c>
      <c r="C181" s="67">
        <v>0</v>
      </c>
      <c r="D181" s="67">
        <v>230.75</v>
      </c>
      <c r="E181" s="67">
        <v>300</v>
      </c>
      <c r="F181" s="67">
        <v>360</v>
      </c>
    </row>
    <row r="182" spans="1:6" x14ac:dyDescent="0.2">
      <c r="A182" s="18" t="s">
        <v>690</v>
      </c>
      <c r="B182" s="254" t="s">
        <v>1895</v>
      </c>
      <c r="C182" s="67">
        <v>2475.58</v>
      </c>
      <c r="D182" s="67">
        <v>2558.9899999999998</v>
      </c>
      <c r="E182" s="67">
        <v>2703</v>
      </c>
      <c r="F182" s="67">
        <v>2799</v>
      </c>
    </row>
    <row r="183" spans="1:6" x14ac:dyDescent="0.2">
      <c r="A183" s="18" t="s">
        <v>691</v>
      </c>
      <c r="B183" s="254" t="s">
        <v>1896</v>
      </c>
      <c r="C183" s="67">
        <v>3828.86</v>
      </c>
      <c r="D183" s="67">
        <v>4089.68</v>
      </c>
      <c r="E183" s="67">
        <v>4346</v>
      </c>
      <c r="F183" s="67">
        <v>4552</v>
      </c>
    </row>
    <row r="184" spans="1:6" x14ac:dyDescent="0.2">
      <c r="A184" s="18" t="s">
        <v>692</v>
      </c>
      <c r="B184" s="254" t="s">
        <v>1897</v>
      </c>
      <c r="C184" s="34">
        <v>0</v>
      </c>
      <c r="D184" s="34">
        <v>5850</v>
      </c>
      <c r="E184" s="34">
        <f>7800+78</f>
        <v>7878</v>
      </c>
      <c r="F184" s="34">
        <f>7800+78</f>
        <v>7878</v>
      </c>
    </row>
    <row r="185" spans="1:6" x14ac:dyDescent="0.2">
      <c r="A185" s="18" t="s">
        <v>694</v>
      </c>
      <c r="B185" s="254" t="s">
        <v>1902</v>
      </c>
      <c r="C185" s="34">
        <v>0</v>
      </c>
      <c r="D185" s="34">
        <v>817.28</v>
      </c>
      <c r="E185" s="34">
        <v>1500</v>
      </c>
      <c r="F185" s="34">
        <v>1710</v>
      </c>
    </row>
    <row r="186" spans="1:6" x14ac:dyDescent="0.2">
      <c r="A186" s="18" t="s">
        <v>1648</v>
      </c>
      <c r="B186" s="254" t="s">
        <v>1904</v>
      </c>
      <c r="C186" s="67">
        <v>93.6</v>
      </c>
      <c r="D186" s="67">
        <v>239.62</v>
      </c>
      <c r="E186" s="67">
        <v>200</v>
      </c>
      <c r="F186" s="67">
        <v>800</v>
      </c>
    </row>
    <row r="187" spans="1:6" x14ac:dyDescent="0.2">
      <c r="A187" s="61" t="s">
        <v>1789</v>
      </c>
      <c r="B187" s="254" t="s">
        <v>1934</v>
      </c>
      <c r="C187" s="67">
        <v>449</v>
      </c>
      <c r="D187" s="67">
        <v>0</v>
      </c>
      <c r="E187" s="67">
        <v>0</v>
      </c>
      <c r="F187" s="67">
        <v>0</v>
      </c>
    </row>
    <row r="188" spans="1:6" x14ac:dyDescent="0.2">
      <c r="A188" s="18"/>
      <c r="B188" s="6" t="s">
        <v>1099</v>
      </c>
      <c r="C188" s="69">
        <f>SUM(C180:C187)</f>
        <v>39542.04</v>
      </c>
      <c r="D188" s="87">
        <f>SUM(D180:D187)</f>
        <v>48018.44</v>
      </c>
      <c r="E188" s="69">
        <f>SUM(E180:E187)</f>
        <v>51959</v>
      </c>
      <c r="F188" s="69">
        <f>SUM(F180:F187)</f>
        <v>54331</v>
      </c>
    </row>
    <row r="189" spans="1:6" ht="9" customHeight="1" x14ac:dyDescent="0.2">
      <c r="A189" s="18"/>
      <c r="B189" s="6"/>
      <c r="C189" s="72"/>
      <c r="D189" s="54"/>
      <c r="E189" s="72"/>
      <c r="F189" s="72"/>
    </row>
    <row r="190" spans="1:6" x14ac:dyDescent="0.2">
      <c r="A190" s="59" t="s">
        <v>695</v>
      </c>
      <c r="B190" s="4" t="s">
        <v>136</v>
      </c>
    </row>
    <row r="191" spans="1:6" x14ac:dyDescent="0.2">
      <c r="A191" s="18" t="s">
        <v>696</v>
      </c>
      <c r="B191" s="254" t="s">
        <v>1909</v>
      </c>
      <c r="C191" s="66">
        <v>44868.2</v>
      </c>
      <c r="D191" s="67">
        <v>42852.93</v>
      </c>
      <c r="E191" s="66">
        <v>44461</v>
      </c>
      <c r="F191" s="66">
        <v>45661</v>
      </c>
    </row>
    <row r="192" spans="1:6" x14ac:dyDescent="0.2">
      <c r="A192" s="18" t="s">
        <v>697</v>
      </c>
      <c r="B192" s="254" t="s">
        <v>1905</v>
      </c>
      <c r="C192" s="67">
        <v>50820.38</v>
      </c>
      <c r="D192" s="67">
        <v>51256.19</v>
      </c>
      <c r="E192" s="67">
        <f>27284+27846</f>
        <v>55130</v>
      </c>
      <c r="F192" s="67">
        <f>28484+27936</f>
        <v>56420</v>
      </c>
    </row>
    <row r="193" spans="1:12" x14ac:dyDescent="0.2">
      <c r="A193" s="18" t="s">
        <v>698</v>
      </c>
      <c r="B193" s="254" t="s">
        <v>1893</v>
      </c>
      <c r="C193" s="67">
        <v>0</v>
      </c>
      <c r="D193" s="67">
        <v>286.11</v>
      </c>
      <c r="E193" s="67">
        <v>300</v>
      </c>
      <c r="F193" s="67">
        <v>0</v>
      </c>
    </row>
    <row r="194" spans="1:12" x14ac:dyDescent="0.2">
      <c r="A194" s="18" t="s">
        <v>699</v>
      </c>
      <c r="B194" s="254" t="s">
        <v>1895</v>
      </c>
      <c r="C194" s="67">
        <v>7735.72</v>
      </c>
      <c r="D194" s="67">
        <v>9521.7800000000007</v>
      </c>
      <c r="E194" s="67">
        <v>7678</v>
      </c>
      <c r="F194" s="67">
        <v>7846</v>
      </c>
      <c r="G194" s="67"/>
    </row>
    <row r="195" spans="1:12" x14ac:dyDescent="0.2">
      <c r="A195" s="18" t="s">
        <v>1165</v>
      </c>
      <c r="B195" s="254" t="s">
        <v>1896</v>
      </c>
      <c r="C195" s="67">
        <v>11243.36</v>
      </c>
      <c r="D195" s="67">
        <v>11114.28</v>
      </c>
      <c r="E195" s="67">
        <v>12287</v>
      </c>
      <c r="F195" s="67">
        <v>12699</v>
      </c>
      <c r="G195" s="62"/>
      <c r="H195" s="62"/>
      <c r="I195" s="62"/>
      <c r="J195" s="62"/>
      <c r="K195" s="62"/>
      <c r="L195" s="62"/>
    </row>
    <row r="196" spans="1:12" x14ac:dyDescent="0.2">
      <c r="A196" s="18" t="s">
        <v>1166</v>
      </c>
      <c r="B196" s="254" t="s">
        <v>1897</v>
      </c>
      <c r="C196" s="34">
        <v>20880</v>
      </c>
      <c r="D196" s="34">
        <v>19720</v>
      </c>
      <c r="E196" s="34">
        <f>23400+235</f>
        <v>23635</v>
      </c>
      <c r="F196" s="34">
        <f>23400+235</f>
        <v>23635</v>
      </c>
      <c r="G196" s="62"/>
      <c r="H196" s="62"/>
      <c r="I196" s="62"/>
      <c r="J196" s="62"/>
      <c r="K196" s="62"/>
      <c r="L196" s="62"/>
    </row>
    <row r="197" spans="1:12" x14ac:dyDescent="0.2">
      <c r="A197" s="61" t="s">
        <v>1804</v>
      </c>
      <c r="B197" s="254" t="s">
        <v>1910</v>
      </c>
      <c r="C197" s="34">
        <v>0</v>
      </c>
      <c r="D197" s="34">
        <v>0</v>
      </c>
      <c r="E197" s="34">
        <v>500</v>
      </c>
      <c r="F197" s="34">
        <v>750</v>
      </c>
      <c r="G197" s="223"/>
      <c r="H197" s="62"/>
      <c r="I197" s="62"/>
      <c r="J197" s="62"/>
      <c r="K197" s="62"/>
      <c r="L197" s="62"/>
    </row>
    <row r="198" spans="1:12" x14ac:dyDescent="0.2">
      <c r="A198" s="18" t="s">
        <v>1167</v>
      </c>
      <c r="B198" s="254" t="s">
        <v>1899</v>
      </c>
      <c r="C198" s="34">
        <v>5800.96</v>
      </c>
      <c r="D198" s="34">
        <v>4327.47</v>
      </c>
      <c r="E198" s="34">
        <v>9000</v>
      </c>
      <c r="F198" s="34">
        <v>7000</v>
      </c>
      <c r="G198" s="62"/>
      <c r="H198" s="62"/>
      <c r="I198" s="62"/>
      <c r="J198" s="62"/>
      <c r="K198" s="62"/>
      <c r="L198" s="62"/>
    </row>
    <row r="199" spans="1:12" x14ac:dyDescent="0.2">
      <c r="A199" s="18" t="s">
        <v>1168</v>
      </c>
      <c r="B199" s="254" t="s">
        <v>1900</v>
      </c>
      <c r="C199" s="34">
        <v>16377.18</v>
      </c>
      <c r="D199" s="34">
        <v>4491.47</v>
      </c>
      <c r="E199" s="34">
        <v>16500</v>
      </c>
      <c r="F199" s="34">
        <v>7000</v>
      </c>
      <c r="G199" s="62"/>
      <c r="H199" s="62"/>
      <c r="I199" s="62"/>
      <c r="J199" s="62"/>
      <c r="K199" s="62"/>
      <c r="L199" s="62"/>
    </row>
    <row r="200" spans="1:12" x14ac:dyDescent="0.2">
      <c r="A200" s="18" t="s">
        <v>1169</v>
      </c>
      <c r="B200" s="254" t="s">
        <v>1911</v>
      </c>
      <c r="C200" s="34">
        <v>6455.08</v>
      </c>
      <c r="D200" s="34">
        <v>3927.65</v>
      </c>
      <c r="E200" s="34">
        <v>6500</v>
      </c>
      <c r="F200" s="34">
        <v>8000</v>
      </c>
      <c r="G200" s="62"/>
      <c r="H200" s="62"/>
      <c r="I200" s="62"/>
      <c r="J200" s="62"/>
      <c r="K200" s="62"/>
      <c r="L200" s="62"/>
    </row>
    <row r="201" spans="1:12" x14ac:dyDescent="0.2">
      <c r="A201" s="18" t="s">
        <v>1170</v>
      </c>
      <c r="B201" s="254" t="s">
        <v>1901</v>
      </c>
      <c r="C201" s="34">
        <v>480</v>
      </c>
      <c r="D201" s="34">
        <v>400</v>
      </c>
      <c r="E201" s="34">
        <v>480</v>
      </c>
      <c r="F201" s="34">
        <v>480</v>
      </c>
      <c r="G201" s="62"/>
      <c r="H201" s="62"/>
      <c r="I201" s="62"/>
      <c r="J201" s="62"/>
      <c r="K201" s="62"/>
      <c r="L201" s="62"/>
    </row>
    <row r="202" spans="1:12" x14ac:dyDescent="0.2">
      <c r="A202" s="18" t="s">
        <v>1171</v>
      </c>
      <c r="B202" s="254" t="s">
        <v>1902</v>
      </c>
      <c r="C202" s="34">
        <v>3820.7</v>
      </c>
      <c r="D202" s="34">
        <v>4930.2</v>
      </c>
      <c r="E202" s="34">
        <v>5500</v>
      </c>
      <c r="F202" s="34">
        <v>6000</v>
      </c>
      <c r="G202" s="62"/>
      <c r="H202" s="62"/>
      <c r="I202" s="62"/>
      <c r="J202" s="62"/>
      <c r="K202" s="62"/>
      <c r="L202" s="62"/>
    </row>
    <row r="203" spans="1:12" x14ac:dyDescent="0.2">
      <c r="A203" s="18" t="s">
        <v>1172</v>
      </c>
      <c r="B203" s="254" t="s">
        <v>1903</v>
      </c>
      <c r="C203" s="67">
        <v>50</v>
      </c>
      <c r="D203" s="67">
        <v>50</v>
      </c>
      <c r="E203" s="67">
        <v>50</v>
      </c>
      <c r="F203" s="67">
        <v>50</v>
      </c>
      <c r="G203" s="62"/>
      <c r="H203" s="62"/>
      <c r="I203" s="62"/>
      <c r="J203" s="62"/>
      <c r="K203" s="62"/>
      <c r="L203" s="62"/>
    </row>
    <row r="204" spans="1:12" x14ac:dyDescent="0.2">
      <c r="A204" s="18" t="s">
        <v>803</v>
      </c>
      <c r="B204" s="254" t="s">
        <v>1912</v>
      </c>
      <c r="C204" s="67"/>
      <c r="E204" s="67"/>
      <c r="F204" s="67"/>
      <c r="G204" s="62"/>
      <c r="H204" s="62"/>
      <c r="I204" s="62"/>
      <c r="J204" s="62"/>
      <c r="K204" s="62"/>
      <c r="L204" s="62"/>
    </row>
    <row r="205" spans="1:12" x14ac:dyDescent="0.2">
      <c r="A205" s="18" t="s">
        <v>815</v>
      </c>
      <c r="B205" s="254" t="s">
        <v>1913</v>
      </c>
      <c r="C205" s="84">
        <v>0</v>
      </c>
      <c r="D205" s="84">
        <v>0</v>
      </c>
      <c r="E205" s="84">
        <v>0</v>
      </c>
      <c r="F205" s="84">
        <v>0</v>
      </c>
      <c r="G205" s="62"/>
      <c r="H205" s="62"/>
      <c r="I205" s="62"/>
      <c r="J205" s="62"/>
      <c r="K205" s="62"/>
      <c r="L205" s="62"/>
    </row>
    <row r="206" spans="1:12" x14ac:dyDescent="0.2">
      <c r="A206" s="18" t="s">
        <v>1173</v>
      </c>
      <c r="B206" s="254" t="s">
        <v>1914</v>
      </c>
      <c r="C206" s="67">
        <v>29377.759999999998</v>
      </c>
      <c r="D206" s="67">
        <v>54068.7</v>
      </c>
      <c r="E206" s="67">
        <v>80000</v>
      </c>
      <c r="F206" s="67">
        <v>90000</v>
      </c>
    </row>
    <row r="207" spans="1:12" x14ac:dyDescent="0.2">
      <c r="A207" s="18" t="s">
        <v>804</v>
      </c>
      <c r="B207" s="254" t="s">
        <v>1841</v>
      </c>
      <c r="C207" s="67">
        <v>12024.17</v>
      </c>
      <c r="D207" s="67">
        <v>5140.49</v>
      </c>
      <c r="E207" s="67">
        <v>13000</v>
      </c>
      <c r="F207" s="67">
        <v>6500</v>
      </c>
    </row>
    <row r="208" spans="1:12" x14ac:dyDescent="0.2">
      <c r="A208" s="18" t="s">
        <v>1174</v>
      </c>
      <c r="B208" s="254" t="s">
        <v>1904</v>
      </c>
      <c r="C208" s="54">
        <v>36326.33</v>
      </c>
      <c r="D208" s="54">
        <v>20476.79</v>
      </c>
      <c r="E208" s="54">
        <v>35000</v>
      </c>
      <c r="F208" s="54">
        <v>435000</v>
      </c>
    </row>
    <row r="209" spans="1:6" x14ac:dyDescent="0.2">
      <c r="A209" s="18" t="s">
        <v>1175</v>
      </c>
      <c r="B209" s="254" t="s">
        <v>1915</v>
      </c>
      <c r="C209" s="85">
        <v>0</v>
      </c>
      <c r="D209" s="85">
        <v>0</v>
      </c>
      <c r="E209" s="85">
        <v>0</v>
      </c>
      <c r="F209" s="85">
        <v>0</v>
      </c>
    </row>
    <row r="210" spans="1:6" x14ac:dyDescent="0.2">
      <c r="A210" s="18"/>
      <c r="B210" s="6" t="s">
        <v>1099</v>
      </c>
      <c r="C210" s="73">
        <f>SUM(C191:C209)</f>
        <v>246259.83999999997</v>
      </c>
      <c r="D210" s="63">
        <f>SUM(D191:D209)</f>
        <v>232564.05999999997</v>
      </c>
      <c r="E210" s="73">
        <f>SUM(E191:E209)</f>
        <v>310021</v>
      </c>
      <c r="F210" s="73">
        <f>SUM(F191:F209)</f>
        <v>707041</v>
      </c>
    </row>
    <row r="211" spans="1:6" ht="6" customHeight="1" x14ac:dyDescent="0.2">
      <c r="A211" s="18"/>
      <c r="B211" s="6"/>
      <c r="C211" s="72"/>
      <c r="D211" s="54"/>
      <c r="E211" s="72"/>
      <c r="F211" s="72"/>
    </row>
    <row r="212" spans="1:6" x14ac:dyDescent="0.2">
      <c r="A212" s="59" t="s">
        <v>1176</v>
      </c>
      <c r="B212" s="4" t="s">
        <v>137</v>
      </c>
    </row>
    <row r="213" spans="1:6" x14ac:dyDescent="0.2">
      <c r="A213" s="18" t="s">
        <v>1270</v>
      </c>
      <c r="B213" s="254" t="s">
        <v>1916</v>
      </c>
      <c r="C213" s="80">
        <v>0</v>
      </c>
      <c r="D213" s="34">
        <v>0</v>
      </c>
      <c r="E213" s="80">
        <v>0</v>
      </c>
      <c r="F213" s="80">
        <v>0</v>
      </c>
    </row>
    <row r="214" spans="1:6" x14ac:dyDescent="0.2">
      <c r="A214" s="18" t="s">
        <v>1177</v>
      </c>
      <c r="B214" s="254" t="s">
        <v>1897</v>
      </c>
      <c r="C214" s="34">
        <v>850000</v>
      </c>
      <c r="D214" s="34">
        <v>600000</v>
      </c>
      <c r="E214" s="34">
        <v>850000</v>
      </c>
      <c r="F214" s="34">
        <v>700000</v>
      </c>
    </row>
    <row r="215" spans="1:6" x14ac:dyDescent="0.2">
      <c r="A215" s="18" t="s">
        <v>1178</v>
      </c>
      <c r="B215" s="254" t="s">
        <v>1917</v>
      </c>
      <c r="C215" s="67">
        <v>144271</v>
      </c>
      <c r="D215" s="67">
        <v>142451</v>
      </c>
      <c r="E215" s="67">
        <v>150000</v>
      </c>
      <c r="F215" s="67">
        <v>150000</v>
      </c>
    </row>
    <row r="216" spans="1:6" x14ac:dyDescent="0.2">
      <c r="A216" s="18" t="s">
        <v>1179</v>
      </c>
      <c r="B216" s="254" t="s">
        <v>1918</v>
      </c>
      <c r="C216" s="34">
        <v>33419.01</v>
      </c>
      <c r="D216" s="34">
        <v>9954.8700000000008</v>
      </c>
      <c r="E216" s="34">
        <v>33000</v>
      </c>
      <c r="F216" s="34">
        <v>33000</v>
      </c>
    </row>
    <row r="217" spans="1:6" x14ac:dyDescent="0.2">
      <c r="A217" s="18" t="s">
        <v>1180</v>
      </c>
      <c r="B217" s="254" t="s">
        <v>1919</v>
      </c>
      <c r="C217" s="34">
        <v>563132.54</v>
      </c>
      <c r="D217" s="34">
        <v>701133.61</v>
      </c>
      <c r="E217" s="34">
        <v>700000</v>
      </c>
      <c r="F217" s="34">
        <v>702000</v>
      </c>
    </row>
    <row r="218" spans="1:6" x14ac:dyDescent="0.2">
      <c r="A218" s="129" t="s">
        <v>1559</v>
      </c>
      <c r="B218" s="254" t="s">
        <v>1920</v>
      </c>
      <c r="C218" s="34">
        <v>0</v>
      </c>
      <c r="D218" s="34">
        <v>0</v>
      </c>
      <c r="E218" s="34">
        <v>50000</v>
      </c>
      <c r="F218" s="34">
        <v>50000</v>
      </c>
    </row>
    <row r="219" spans="1:6" x14ac:dyDescent="0.2">
      <c r="A219" s="18" t="s">
        <v>1181</v>
      </c>
      <c r="B219" s="265" t="s">
        <v>1921</v>
      </c>
      <c r="C219" s="34">
        <v>4745.6099999999997</v>
      </c>
      <c r="D219" s="34">
        <v>4525.59</v>
      </c>
      <c r="E219" s="34">
        <v>6000</v>
      </c>
      <c r="F219" s="34">
        <v>6000</v>
      </c>
    </row>
    <row r="220" spans="1:6" x14ac:dyDescent="0.2">
      <c r="A220" s="18" t="s">
        <v>1182</v>
      </c>
      <c r="B220" s="254" t="s">
        <v>1922</v>
      </c>
      <c r="C220" s="67">
        <v>0</v>
      </c>
      <c r="D220" s="67">
        <v>0</v>
      </c>
      <c r="E220" s="67">
        <v>0</v>
      </c>
      <c r="F220" s="67">
        <v>0</v>
      </c>
    </row>
    <row r="221" spans="1:6" x14ac:dyDescent="0.2">
      <c r="A221" s="79" t="s">
        <v>1308</v>
      </c>
      <c r="B221" s="265" t="s">
        <v>1923</v>
      </c>
      <c r="C221" s="67">
        <v>4989.1499999999996</v>
      </c>
      <c r="D221" s="67">
        <v>2959.89</v>
      </c>
      <c r="E221" s="67">
        <v>5000</v>
      </c>
      <c r="F221" s="67">
        <v>5000</v>
      </c>
    </row>
    <row r="222" spans="1:6" x14ac:dyDescent="0.2">
      <c r="A222" s="18" t="s">
        <v>350</v>
      </c>
      <c r="B222" s="254" t="s">
        <v>1901</v>
      </c>
      <c r="C222" s="34">
        <v>107140.31</v>
      </c>
      <c r="D222" s="34">
        <v>103143.61</v>
      </c>
      <c r="E222" s="34">
        <v>110000</v>
      </c>
      <c r="F222" s="34">
        <v>110000</v>
      </c>
    </row>
    <row r="223" spans="1:6" x14ac:dyDescent="0.2">
      <c r="A223" s="18" t="s">
        <v>1632</v>
      </c>
      <c r="B223" s="254" t="s">
        <v>1704</v>
      </c>
      <c r="C223" s="34">
        <v>50000</v>
      </c>
      <c r="D223" s="34">
        <v>150000</v>
      </c>
      <c r="E223" s="34">
        <v>100000</v>
      </c>
      <c r="F223" s="34">
        <v>50000</v>
      </c>
    </row>
    <row r="224" spans="1:6" x14ac:dyDescent="0.2">
      <c r="A224" s="18" t="s">
        <v>351</v>
      </c>
      <c r="B224" s="254" t="s">
        <v>1924</v>
      </c>
      <c r="C224" s="67">
        <v>14324.5</v>
      </c>
      <c r="D224" s="67">
        <v>18925.75</v>
      </c>
      <c r="E224" s="67">
        <v>20000</v>
      </c>
      <c r="F224" s="67">
        <f>20000+23500</f>
        <v>43500</v>
      </c>
    </row>
    <row r="225" spans="1:6" x14ac:dyDescent="0.2">
      <c r="A225" s="18" t="s">
        <v>352</v>
      </c>
      <c r="B225" s="254" t="s">
        <v>1925</v>
      </c>
      <c r="C225" s="67">
        <v>5643.71</v>
      </c>
      <c r="D225" s="67">
        <v>6621.2</v>
      </c>
      <c r="E225" s="67">
        <v>6000</v>
      </c>
      <c r="F225" s="67">
        <v>6500</v>
      </c>
    </row>
    <row r="226" spans="1:6" x14ac:dyDescent="0.2">
      <c r="A226" s="18" t="s">
        <v>353</v>
      </c>
      <c r="B226" s="254" t="s">
        <v>1926</v>
      </c>
      <c r="C226" s="67">
        <v>42636.32</v>
      </c>
      <c r="D226" s="67">
        <v>59035.77</v>
      </c>
      <c r="E226" s="67">
        <v>60000</v>
      </c>
      <c r="F226" s="67">
        <v>74000</v>
      </c>
    </row>
    <row r="227" spans="1:6" x14ac:dyDescent="0.2">
      <c r="A227" s="18" t="s">
        <v>503</v>
      </c>
      <c r="B227" s="254" t="s">
        <v>1927</v>
      </c>
      <c r="C227" s="67">
        <v>174.5</v>
      </c>
      <c r="D227" s="67">
        <v>-63.04</v>
      </c>
      <c r="E227" s="67">
        <v>0</v>
      </c>
      <c r="F227" s="67">
        <v>0</v>
      </c>
    </row>
    <row r="228" spans="1:6" x14ac:dyDescent="0.2">
      <c r="A228" s="18" t="s">
        <v>1117</v>
      </c>
      <c r="B228" s="254" t="s">
        <v>1928</v>
      </c>
      <c r="C228" s="67">
        <v>306000.5</v>
      </c>
      <c r="D228" s="67">
        <v>311839.5</v>
      </c>
      <c r="E228" s="67">
        <v>305000</v>
      </c>
      <c r="F228" s="67">
        <v>330000</v>
      </c>
    </row>
    <row r="229" spans="1:6" x14ac:dyDescent="0.2">
      <c r="A229" s="18" t="s">
        <v>981</v>
      </c>
      <c r="B229" s="254" t="s">
        <v>1929</v>
      </c>
      <c r="C229" s="67">
        <v>0</v>
      </c>
      <c r="D229" s="67">
        <v>0</v>
      </c>
      <c r="E229" s="67">
        <v>0</v>
      </c>
      <c r="F229" s="67">
        <v>0</v>
      </c>
    </row>
    <row r="230" spans="1:6" x14ac:dyDescent="0.2">
      <c r="A230" s="18" t="s">
        <v>1118</v>
      </c>
      <c r="B230" s="254" t="s">
        <v>1930</v>
      </c>
      <c r="C230" s="67">
        <v>1560</v>
      </c>
      <c r="D230" s="67">
        <v>1560</v>
      </c>
      <c r="E230" s="67">
        <v>1600</v>
      </c>
      <c r="F230" s="67">
        <v>1600</v>
      </c>
    </row>
    <row r="231" spans="1:6" x14ac:dyDescent="0.2">
      <c r="A231" s="79" t="s">
        <v>1392</v>
      </c>
      <c r="B231" s="265" t="s">
        <v>1931</v>
      </c>
      <c r="C231" s="67">
        <v>1800</v>
      </c>
      <c r="D231" s="67">
        <v>1800</v>
      </c>
      <c r="E231" s="67">
        <v>1800</v>
      </c>
      <c r="F231" s="67">
        <v>1800</v>
      </c>
    </row>
    <row r="232" spans="1:6" x14ac:dyDescent="0.2">
      <c r="A232" s="18" t="s">
        <v>1393</v>
      </c>
      <c r="B232" s="254" t="s">
        <v>1932</v>
      </c>
      <c r="C232" s="67">
        <v>9845</v>
      </c>
      <c r="D232" s="67">
        <v>9845</v>
      </c>
      <c r="E232" s="67">
        <v>9861</v>
      </c>
      <c r="F232" s="67">
        <v>9861</v>
      </c>
    </row>
    <row r="233" spans="1:6" x14ac:dyDescent="0.2">
      <c r="A233" s="18" t="s">
        <v>1802</v>
      </c>
      <c r="B233" s="254" t="s">
        <v>1933</v>
      </c>
      <c r="C233" s="67">
        <v>0</v>
      </c>
      <c r="D233" s="67">
        <v>0</v>
      </c>
      <c r="E233" s="67">
        <v>0</v>
      </c>
      <c r="F233" s="67">
        <v>0</v>
      </c>
    </row>
    <row r="234" spans="1:6" x14ac:dyDescent="0.2">
      <c r="A234" s="18" t="s">
        <v>1394</v>
      </c>
      <c r="B234" s="254" t="s">
        <v>1904</v>
      </c>
      <c r="C234" s="67">
        <v>41330.51</v>
      </c>
      <c r="D234" s="67">
        <v>46074.62</v>
      </c>
      <c r="E234" s="67">
        <v>55000</v>
      </c>
      <c r="F234" s="67">
        <v>55000</v>
      </c>
    </row>
    <row r="235" spans="1:6" x14ac:dyDescent="0.2">
      <c r="A235" s="79" t="s">
        <v>1395</v>
      </c>
      <c r="B235" s="265" t="s">
        <v>1934</v>
      </c>
      <c r="C235" s="67">
        <v>318654.40999999997</v>
      </c>
      <c r="D235" s="67">
        <v>403985.03</v>
      </c>
      <c r="E235" s="67">
        <v>404000</v>
      </c>
      <c r="F235" s="67">
        <v>460000</v>
      </c>
    </row>
    <row r="236" spans="1:6" x14ac:dyDescent="0.2">
      <c r="A236" s="79" t="s">
        <v>1396</v>
      </c>
      <c r="B236" s="265" t="s">
        <v>1935</v>
      </c>
      <c r="C236" s="67">
        <v>0</v>
      </c>
      <c r="D236" s="67">
        <v>0</v>
      </c>
      <c r="E236" s="67">
        <v>1000</v>
      </c>
      <c r="F236" s="67">
        <v>1000</v>
      </c>
    </row>
    <row r="237" spans="1:6" x14ac:dyDescent="0.2">
      <c r="A237" s="79" t="s">
        <v>1397</v>
      </c>
      <c r="B237" s="265" t="s">
        <v>1936</v>
      </c>
      <c r="C237" s="34">
        <v>183999.96</v>
      </c>
      <c r="D237" s="34">
        <v>183999.96</v>
      </c>
      <c r="E237" s="34">
        <v>184000</v>
      </c>
      <c r="F237" s="34">
        <v>224000</v>
      </c>
    </row>
    <row r="238" spans="1:6" x14ac:dyDescent="0.2">
      <c r="A238" s="79" t="s">
        <v>1633</v>
      </c>
      <c r="B238" s="265" t="s">
        <v>1937</v>
      </c>
      <c r="C238" s="34">
        <v>0</v>
      </c>
      <c r="D238" s="34">
        <v>0</v>
      </c>
      <c r="E238" s="34">
        <v>0</v>
      </c>
      <c r="F238" s="34">
        <v>0</v>
      </c>
    </row>
    <row r="239" spans="1:6" x14ac:dyDescent="0.2">
      <c r="A239" s="79" t="s">
        <v>1398</v>
      </c>
      <c r="B239" s="265" t="s">
        <v>1938</v>
      </c>
      <c r="C239" s="34">
        <v>178890</v>
      </c>
      <c r="D239" s="34">
        <v>235702.5</v>
      </c>
      <c r="E239" s="34">
        <v>180000</v>
      </c>
      <c r="F239" s="34">
        <v>200000</v>
      </c>
    </row>
    <row r="240" spans="1:6" x14ac:dyDescent="0.2">
      <c r="A240" s="79" t="s">
        <v>1309</v>
      </c>
      <c r="B240" s="265" t="s">
        <v>1939</v>
      </c>
      <c r="C240" s="34">
        <v>217</v>
      </c>
      <c r="D240" s="34">
        <v>365</v>
      </c>
      <c r="E240" s="34">
        <v>0</v>
      </c>
      <c r="F240" s="34">
        <v>0</v>
      </c>
    </row>
    <row r="241" spans="1:6" x14ac:dyDescent="0.2">
      <c r="A241" s="79" t="s">
        <v>43</v>
      </c>
      <c r="B241" s="265" t="s">
        <v>1940</v>
      </c>
      <c r="C241" s="34">
        <v>119589.92</v>
      </c>
      <c r="D241" s="34">
        <v>33970.01</v>
      </c>
      <c r="E241" s="34">
        <v>1000</v>
      </c>
      <c r="F241" s="34">
        <v>15000</v>
      </c>
    </row>
    <row r="242" spans="1:6" x14ac:dyDescent="0.2">
      <c r="A242" s="18"/>
      <c r="B242" s="6" t="s">
        <v>1099</v>
      </c>
      <c r="C242" s="69">
        <f>SUM(C213:C241)</f>
        <v>2982363.95</v>
      </c>
      <c r="D242" s="87">
        <f>SUM(D213:D241)</f>
        <v>3027829.87</v>
      </c>
      <c r="E242" s="69">
        <f>SUM(E213:E241)</f>
        <v>3233261</v>
      </c>
      <c r="F242" s="69">
        <f>SUM(F213:F241)</f>
        <v>3228261</v>
      </c>
    </row>
    <row r="243" spans="1:6" x14ac:dyDescent="0.2">
      <c r="A243" s="18"/>
      <c r="B243" s="4" t="s">
        <v>638</v>
      </c>
      <c r="C243" s="75" t="s">
        <v>1410</v>
      </c>
      <c r="D243" s="230"/>
      <c r="E243" s="75" t="s">
        <v>1410</v>
      </c>
      <c r="F243" s="75" t="s">
        <v>1410</v>
      </c>
    </row>
    <row r="244" spans="1:6" x14ac:dyDescent="0.2">
      <c r="A244" s="18"/>
      <c r="B244" s="4" t="s">
        <v>963</v>
      </c>
      <c r="C244" s="75" t="s">
        <v>1410</v>
      </c>
      <c r="D244" s="230"/>
      <c r="E244" s="75" t="s">
        <v>1410</v>
      </c>
      <c r="F244" s="75" t="s">
        <v>1410</v>
      </c>
    </row>
    <row r="245" spans="1:6" x14ac:dyDescent="0.2">
      <c r="A245" s="18"/>
      <c r="B245" s="4" t="s">
        <v>130</v>
      </c>
      <c r="C245" s="75" t="s">
        <v>1410</v>
      </c>
      <c r="D245" s="230" t="s">
        <v>1410</v>
      </c>
      <c r="E245" s="75" t="s">
        <v>1410</v>
      </c>
      <c r="F245" s="75" t="s">
        <v>1410</v>
      </c>
    </row>
    <row r="246" spans="1:6" x14ac:dyDescent="0.2">
      <c r="A246" s="18"/>
      <c r="C246" s="77" t="str">
        <f>+$C$4</f>
        <v>2018 ACTUAL</v>
      </c>
      <c r="D246" s="266" t="str">
        <f>+D$4</f>
        <v>2019 ACTUAL</v>
      </c>
      <c r="E246" s="77" t="str">
        <f>+E$4</f>
        <v>2020 BUDGET</v>
      </c>
      <c r="F246" s="77" t="str">
        <f>+F$4</f>
        <v>2021 BUDGET</v>
      </c>
    </row>
    <row r="247" spans="1:6" x14ac:dyDescent="0.2">
      <c r="A247" s="59" t="s">
        <v>1399</v>
      </c>
      <c r="B247" s="4" t="s">
        <v>836</v>
      </c>
    </row>
    <row r="248" spans="1:6" x14ac:dyDescent="0.2">
      <c r="A248" s="18" t="s">
        <v>1400</v>
      </c>
      <c r="B248" s="254" t="s">
        <v>1888</v>
      </c>
      <c r="C248" s="66">
        <v>152981.92000000001</v>
      </c>
      <c r="D248" s="67">
        <v>152981.92199999999</v>
      </c>
      <c r="E248" s="66">
        <v>165342</v>
      </c>
      <c r="F248" s="66">
        <v>165342</v>
      </c>
    </row>
    <row r="249" spans="1:6" x14ac:dyDescent="0.2">
      <c r="A249" s="18" t="s">
        <v>1401</v>
      </c>
      <c r="B249" s="254" t="s">
        <v>1962</v>
      </c>
      <c r="C249" s="67">
        <v>57112.38</v>
      </c>
      <c r="D249" s="67">
        <v>61464.05</v>
      </c>
      <c r="E249" s="67">
        <f>34295+29012</f>
        <v>63307</v>
      </c>
      <c r="F249" s="67">
        <f>35495+33391</f>
        <v>68886</v>
      </c>
    </row>
    <row r="250" spans="1:6" x14ac:dyDescent="0.2">
      <c r="A250" s="18" t="s">
        <v>1402</v>
      </c>
      <c r="B250" s="254" t="s">
        <v>1963</v>
      </c>
      <c r="C250" s="67">
        <v>0</v>
      </c>
      <c r="D250" s="67">
        <v>0</v>
      </c>
      <c r="E250" s="67">
        <v>0</v>
      </c>
      <c r="F250" s="67">
        <v>0</v>
      </c>
    </row>
    <row r="251" spans="1:6" x14ac:dyDescent="0.2">
      <c r="A251" s="18" t="s">
        <v>1497</v>
      </c>
      <c r="B251" s="254" t="s">
        <v>1964</v>
      </c>
      <c r="C251" s="67">
        <v>17447.830000000002</v>
      </c>
      <c r="D251" s="67">
        <v>14468.86</v>
      </c>
      <c r="E251" s="67">
        <v>20577</v>
      </c>
      <c r="F251" s="67">
        <v>21297</v>
      </c>
    </row>
    <row r="252" spans="1:6" x14ac:dyDescent="0.2">
      <c r="A252" s="18" t="s">
        <v>1498</v>
      </c>
      <c r="B252" s="254" t="s">
        <v>1893</v>
      </c>
      <c r="C252" s="67">
        <v>0</v>
      </c>
      <c r="D252" s="67">
        <v>346</v>
      </c>
      <c r="E252" s="67">
        <v>480</v>
      </c>
      <c r="F252" s="67">
        <v>600</v>
      </c>
    </row>
    <row r="253" spans="1:6" x14ac:dyDescent="0.2">
      <c r="A253" s="18" t="s">
        <v>935</v>
      </c>
      <c r="B253" s="254" t="s">
        <v>1895</v>
      </c>
      <c r="C253" s="67">
        <v>15264.04</v>
      </c>
      <c r="D253" s="67">
        <v>15435.23</v>
      </c>
      <c r="E253" s="67">
        <v>19535</v>
      </c>
      <c r="F253" s="67">
        <v>20026</v>
      </c>
    </row>
    <row r="254" spans="1:6" x14ac:dyDescent="0.2">
      <c r="A254" s="18" t="s">
        <v>936</v>
      </c>
      <c r="B254" s="254" t="s">
        <v>1896</v>
      </c>
      <c r="C254" s="67">
        <v>26644.61</v>
      </c>
      <c r="D254" s="67">
        <v>27200.19</v>
      </c>
      <c r="E254" s="67">
        <v>31410</v>
      </c>
      <c r="F254" s="67">
        <v>32566</v>
      </c>
    </row>
    <row r="255" spans="1:6" x14ac:dyDescent="0.2">
      <c r="A255" s="18" t="s">
        <v>937</v>
      </c>
      <c r="B255" s="254" t="s">
        <v>1897</v>
      </c>
      <c r="C255" s="34">
        <v>20631.84</v>
      </c>
      <c r="D255" s="34">
        <v>23021.84</v>
      </c>
      <c r="E255" s="34">
        <f>23400+235</f>
        <v>23635</v>
      </c>
      <c r="F255" s="34">
        <f>23400+235</f>
        <v>23635</v>
      </c>
    </row>
    <row r="256" spans="1:6" x14ac:dyDescent="0.2">
      <c r="A256" s="18" t="s">
        <v>938</v>
      </c>
      <c r="B256" s="254" t="s">
        <v>1899</v>
      </c>
      <c r="C256" s="67">
        <v>2163.4</v>
      </c>
      <c r="D256" s="67">
        <v>855.38</v>
      </c>
      <c r="E256" s="67">
        <v>2500</v>
      </c>
      <c r="F256" s="67">
        <v>2500</v>
      </c>
    </row>
    <row r="257" spans="1:6" x14ac:dyDescent="0.2">
      <c r="A257" s="18" t="s">
        <v>939</v>
      </c>
      <c r="B257" s="254" t="s">
        <v>1900</v>
      </c>
      <c r="C257" s="67">
        <v>737.89</v>
      </c>
      <c r="D257" s="67">
        <v>1199.93</v>
      </c>
      <c r="E257" s="67">
        <v>750</v>
      </c>
      <c r="F257" s="67">
        <v>750</v>
      </c>
    </row>
    <row r="258" spans="1:6" x14ac:dyDescent="0.2">
      <c r="A258" s="18" t="s">
        <v>940</v>
      </c>
      <c r="B258" s="254" t="s">
        <v>1902</v>
      </c>
      <c r="C258" s="67">
        <v>680.9</v>
      </c>
      <c r="D258" s="67">
        <v>2831.03</v>
      </c>
      <c r="E258" s="67">
        <v>3500</v>
      </c>
      <c r="F258" s="67">
        <v>4000</v>
      </c>
    </row>
    <row r="259" spans="1:6" x14ac:dyDescent="0.2">
      <c r="A259" s="18" t="s">
        <v>941</v>
      </c>
      <c r="B259" s="254" t="s">
        <v>1903</v>
      </c>
      <c r="C259" s="67">
        <v>297</v>
      </c>
      <c r="D259" s="67">
        <v>1243</v>
      </c>
      <c r="E259" s="67">
        <v>0</v>
      </c>
      <c r="F259" s="67">
        <v>0</v>
      </c>
    </row>
    <row r="260" spans="1:6" x14ac:dyDescent="0.2">
      <c r="A260" s="18" t="s">
        <v>942</v>
      </c>
      <c r="B260" s="254" t="s">
        <v>1904</v>
      </c>
      <c r="C260" s="34">
        <v>258.02</v>
      </c>
      <c r="D260" s="34">
        <v>1062.8499999999999</v>
      </c>
      <c r="E260" s="34">
        <v>1200</v>
      </c>
      <c r="F260" s="34">
        <v>14000</v>
      </c>
    </row>
    <row r="261" spans="1:6" x14ac:dyDescent="0.2">
      <c r="A261" s="18"/>
      <c r="B261" s="6" t="s">
        <v>1099</v>
      </c>
      <c r="C261" s="69">
        <f>SUM(C248:C260)</f>
        <v>294219.83000000013</v>
      </c>
      <c r="D261" s="87">
        <f>SUM(D248:D260)</f>
        <v>302110.28200000001</v>
      </c>
      <c r="E261" s="69">
        <f>SUM(E248:E260)</f>
        <v>332236</v>
      </c>
      <c r="F261" s="69">
        <f>SUM(F248:F260)</f>
        <v>353602</v>
      </c>
    </row>
    <row r="262" spans="1:6" x14ac:dyDescent="0.2">
      <c r="A262" s="18"/>
      <c r="B262" s="6"/>
      <c r="C262" s="72"/>
      <c r="D262" s="54"/>
      <c r="E262" s="72"/>
      <c r="F262" s="72"/>
    </row>
    <row r="263" spans="1:6" x14ac:dyDescent="0.2">
      <c r="A263" s="59" t="s">
        <v>943</v>
      </c>
      <c r="B263" s="4" t="s">
        <v>840</v>
      </c>
    </row>
    <row r="264" spans="1:6" x14ac:dyDescent="0.2">
      <c r="A264" s="18" t="s">
        <v>944</v>
      </c>
      <c r="B264" s="254" t="s">
        <v>1888</v>
      </c>
      <c r="C264" s="66">
        <v>10247.9</v>
      </c>
      <c r="D264" s="67">
        <v>10247.9</v>
      </c>
      <c r="E264" s="66">
        <v>13248</v>
      </c>
      <c r="F264" s="66">
        <v>13248</v>
      </c>
    </row>
    <row r="265" spans="1:6" x14ac:dyDescent="0.2">
      <c r="A265" s="18" t="s">
        <v>945</v>
      </c>
      <c r="B265" s="254" t="s">
        <v>1962</v>
      </c>
      <c r="C265" s="34">
        <v>64234.3</v>
      </c>
      <c r="D265" s="34">
        <v>65834.080000000002</v>
      </c>
      <c r="E265" s="34">
        <f>37355+30872</f>
        <v>68227</v>
      </c>
      <c r="F265" s="34">
        <f>38555+34075</f>
        <v>72630</v>
      </c>
    </row>
    <row r="266" spans="1:6" x14ac:dyDescent="0.2">
      <c r="A266" s="18" t="s">
        <v>946</v>
      </c>
      <c r="B266" s="254" t="s">
        <v>1964</v>
      </c>
      <c r="C266" s="67">
        <v>0</v>
      </c>
      <c r="D266" s="67">
        <v>34698.03</v>
      </c>
      <c r="E266" s="67">
        <v>41630</v>
      </c>
      <c r="F266" s="67">
        <v>42830</v>
      </c>
    </row>
    <row r="267" spans="1:6" x14ac:dyDescent="0.2">
      <c r="A267" s="18" t="s">
        <v>947</v>
      </c>
      <c r="B267" s="254" t="s">
        <v>1893</v>
      </c>
      <c r="C267" s="67">
        <v>297.73</v>
      </c>
      <c r="D267" s="67">
        <v>1387.04</v>
      </c>
      <c r="E267" s="67">
        <v>1860</v>
      </c>
      <c r="F267" s="67">
        <v>2940</v>
      </c>
    </row>
    <row r="268" spans="1:6" x14ac:dyDescent="0.2">
      <c r="A268" s="18" t="s">
        <v>1716</v>
      </c>
      <c r="B268" s="254" t="s">
        <v>1961</v>
      </c>
      <c r="C268" s="67">
        <v>1999.92</v>
      </c>
      <c r="D268" s="67">
        <v>2969.22</v>
      </c>
      <c r="E268" s="67">
        <v>3400</v>
      </c>
      <c r="F268" s="67">
        <v>3400</v>
      </c>
    </row>
    <row r="269" spans="1:6" x14ac:dyDescent="0.2">
      <c r="A269" s="18" t="s">
        <v>948</v>
      </c>
      <c r="B269" s="254" t="s">
        <v>1895</v>
      </c>
      <c r="C269" s="34">
        <v>5658.77</v>
      </c>
      <c r="D269" s="34">
        <v>8533.1299999999992</v>
      </c>
      <c r="E269" s="34">
        <v>10183</v>
      </c>
      <c r="F269" s="34">
        <v>10626</v>
      </c>
    </row>
    <row r="270" spans="1:6" x14ac:dyDescent="0.2">
      <c r="A270" s="18" t="s">
        <v>949</v>
      </c>
      <c r="B270" s="254" t="s">
        <v>1896</v>
      </c>
      <c r="C270" s="34">
        <v>8991.76</v>
      </c>
      <c r="D270" s="34">
        <v>13671.74</v>
      </c>
      <c r="E270" s="34">
        <v>16373</v>
      </c>
      <c r="F270" s="34">
        <v>17279</v>
      </c>
    </row>
    <row r="271" spans="1:6" x14ac:dyDescent="0.2">
      <c r="A271" s="18" t="s">
        <v>950</v>
      </c>
      <c r="B271" s="254" t="s">
        <v>1897</v>
      </c>
      <c r="C271" s="34">
        <v>13920</v>
      </c>
      <c r="D271" s="34">
        <v>20653.830000000002</v>
      </c>
      <c r="E271" s="34">
        <f>23400+313</f>
        <v>23713</v>
      </c>
      <c r="F271" s="34">
        <f>23400+313</f>
        <v>23713</v>
      </c>
    </row>
    <row r="272" spans="1:6" x14ac:dyDescent="0.2">
      <c r="A272" s="18" t="s">
        <v>951</v>
      </c>
      <c r="B272" s="254" t="s">
        <v>1899</v>
      </c>
      <c r="C272" s="67">
        <v>1711.45</v>
      </c>
      <c r="D272" s="67">
        <v>2321.96</v>
      </c>
      <c r="E272" s="67">
        <v>2500</v>
      </c>
      <c r="F272" s="67">
        <v>2500</v>
      </c>
    </row>
    <row r="273" spans="1:6" x14ac:dyDescent="0.2">
      <c r="A273" s="18" t="s">
        <v>952</v>
      </c>
      <c r="B273" s="254" t="s">
        <v>1900</v>
      </c>
      <c r="C273" s="67">
        <v>93.63</v>
      </c>
      <c r="D273" s="67">
        <v>97.19</v>
      </c>
      <c r="E273" s="67">
        <v>300</v>
      </c>
      <c r="F273" s="67">
        <v>300</v>
      </c>
    </row>
    <row r="274" spans="1:6" x14ac:dyDescent="0.2">
      <c r="A274" s="61" t="s">
        <v>2333</v>
      </c>
      <c r="B274" s="254" t="s">
        <v>1901</v>
      </c>
      <c r="C274" s="67">
        <v>0</v>
      </c>
      <c r="D274" s="67">
        <v>0</v>
      </c>
      <c r="E274" s="67">
        <v>0</v>
      </c>
      <c r="F274" s="67">
        <v>500</v>
      </c>
    </row>
    <row r="275" spans="1:6" x14ac:dyDescent="0.2">
      <c r="A275" s="18" t="s">
        <v>33</v>
      </c>
      <c r="B275" s="254" t="s">
        <v>1902</v>
      </c>
      <c r="C275" s="67">
        <v>4723.1499999999996</v>
      </c>
      <c r="D275" s="67">
        <v>1685.06</v>
      </c>
      <c r="E275" s="67">
        <v>3500</v>
      </c>
      <c r="F275" s="67">
        <v>2500</v>
      </c>
    </row>
    <row r="276" spans="1:6" x14ac:dyDescent="0.2">
      <c r="A276" s="18" t="s">
        <v>34</v>
      </c>
      <c r="B276" s="254" t="s">
        <v>1903</v>
      </c>
      <c r="C276" s="34">
        <v>0</v>
      </c>
      <c r="D276" s="34">
        <v>0</v>
      </c>
      <c r="E276" s="34">
        <v>0</v>
      </c>
      <c r="F276" s="34">
        <v>0</v>
      </c>
    </row>
    <row r="277" spans="1:6" x14ac:dyDescent="0.2">
      <c r="A277" s="18" t="s">
        <v>35</v>
      </c>
      <c r="B277" s="254" t="s">
        <v>1904</v>
      </c>
      <c r="C277" s="34">
        <v>0</v>
      </c>
      <c r="D277" s="34">
        <v>0</v>
      </c>
      <c r="E277" s="34">
        <v>1000</v>
      </c>
      <c r="F277" s="34">
        <v>1000</v>
      </c>
    </row>
    <row r="278" spans="1:6" x14ac:dyDescent="0.2">
      <c r="A278" s="18"/>
      <c r="B278" s="6" t="s">
        <v>1099</v>
      </c>
      <c r="C278" s="69">
        <f>SUM(C264:C277)</f>
        <v>111878.60999999999</v>
      </c>
      <c r="D278" s="87">
        <f>SUM(D264:D277)</f>
        <v>162099.17999999996</v>
      </c>
      <c r="E278" s="69">
        <f>SUM(E264:E277)</f>
        <v>185934</v>
      </c>
      <c r="F278" s="69">
        <f>SUM(F264:F277)</f>
        <v>193466</v>
      </c>
    </row>
    <row r="279" spans="1:6" x14ac:dyDescent="0.2">
      <c r="A279" s="18"/>
      <c r="B279" s="6"/>
      <c r="C279" s="72"/>
      <c r="D279" s="54"/>
      <c r="E279" s="72"/>
      <c r="F279" s="72"/>
    </row>
    <row r="280" spans="1:6" x14ac:dyDescent="0.2">
      <c r="A280" s="18"/>
      <c r="B280" s="31" t="s">
        <v>112</v>
      </c>
      <c r="C280" s="72"/>
      <c r="D280" s="54"/>
      <c r="E280" s="72"/>
      <c r="F280" s="72"/>
    </row>
    <row r="281" spans="1:6" x14ac:dyDescent="0.2">
      <c r="A281" s="18" t="s">
        <v>159</v>
      </c>
      <c r="B281" s="254" t="s">
        <v>1965</v>
      </c>
      <c r="C281" s="72">
        <v>0</v>
      </c>
      <c r="D281" s="54">
        <v>0</v>
      </c>
      <c r="E281" s="72">
        <v>0</v>
      </c>
      <c r="F281" s="72">
        <v>0</v>
      </c>
    </row>
    <row r="282" spans="1:6" x14ac:dyDescent="0.2">
      <c r="A282" s="18" t="s">
        <v>1765</v>
      </c>
      <c r="B282" s="254" t="s">
        <v>1893</v>
      </c>
      <c r="C282" s="67">
        <v>0</v>
      </c>
      <c r="D282" s="67">
        <v>0</v>
      </c>
      <c r="E282" s="67">
        <v>0</v>
      </c>
      <c r="F282" s="67">
        <v>0</v>
      </c>
    </row>
    <row r="283" spans="1:6" x14ac:dyDescent="0.2">
      <c r="A283" s="18" t="s">
        <v>1766</v>
      </c>
      <c r="B283" s="254" t="s">
        <v>1895</v>
      </c>
      <c r="C283" s="67">
        <v>0</v>
      </c>
      <c r="D283" s="67">
        <v>0</v>
      </c>
      <c r="E283" s="67">
        <v>0</v>
      </c>
      <c r="F283" s="67">
        <v>0</v>
      </c>
    </row>
    <row r="284" spans="1:6" x14ac:dyDescent="0.2">
      <c r="A284" s="18" t="s">
        <v>1767</v>
      </c>
      <c r="B284" s="254" t="s">
        <v>1896</v>
      </c>
      <c r="C284" s="67">
        <v>0</v>
      </c>
      <c r="D284" s="67">
        <v>0</v>
      </c>
      <c r="E284" s="67">
        <v>0</v>
      </c>
      <c r="F284" s="67">
        <v>0</v>
      </c>
    </row>
    <row r="285" spans="1:6" x14ac:dyDescent="0.2">
      <c r="A285" s="18" t="s">
        <v>1768</v>
      </c>
      <c r="B285" s="254" t="s">
        <v>1897</v>
      </c>
      <c r="C285" s="67">
        <v>0</v>
      </c>
      <c r="D285" s="67">
        <v>0</v>
      </c>
      <c r="E285" s="67">
        <v>0</v>
      </c>
      <c r="F285" s="67">
        <v>0</v>
      </c>
    </row>
    <row r="286" spans="1:6" x14ac:dyDescent="0.2">
      <c r="A286" s="61" t="s">
        <v>1790</v>
      </c>
      <c r="B286" s="254" t="s">
        <v>1966</v>
      </c>
      <c r="C286" s="67"/>
      <c r="D286" s="67">
        <v>21722.3</v>
      </c>
      <c r="E286" s="67">
        <v>41055</v>
      </c>
      <c r="F286" s="67">
        <v>41055</v>
      </c>
    </row>
    <row r="287" spans="1:6" x14ac:dyDescent="0.2">
      <c r="A287" s="18"/>
      <c r="B287" s="6" t="s">
        <v>1099</v>
      </c>
      <c r="C287" s="69">
        <f>SUM(C281:C285)</f>
        <v>0</v>
      </c>
      <c r="D287" s="87">
        <f>SUM(D281:D286)</f>
        <v>21722.3</v>
      </c>
      <c r="E287" s="69">
        <f>SUM(E281:E286)</f>
        <v>41055</v>
      </c>
      <c r="F287" s="69">
        <f>SUM(F281:F286)</f>
        <v>41055</v>
      </c>
    </row>
    <row r="288" spans="1:6" x14ac:dyDescent="0.2">
      <c r="A288" s="18"/>
      <c r="B288" s="6" t="s">
        <v>1410</v>
      </c>
      <c r="C288" s="72"/>
      <c r="D288" s="54"/>
      <c r="E288" s="72"/>
      <c r="F288" s="72"/>
    </row>
    <row r="289" spans="1:6" x14ac:dyDescent="0.2">
      <c r="A289" s="59" t="s">
        <v>36</v>
      </c>
      <c r="B289" s="31" t="s">
        <v>841</v>
      </c>
      <c r="C289" s="72"/>
      <c r="D289" s="54"/>
      <c r="E289" s="72"/>
      <c r="F289" s="72"/>
    </row>
    <row r="290" spans="1:6" x14ac:dyDescent="0.2">
      <c r="A290" s="18" t="s">
        <v>37</v>
      </c>
      <c r="B290" s="254" t="s">
        <v>1888</v>
      </c>
      <c r="C290" s="72">
        <v>48435.92</v>
      </c>
      <c r="D290" s="54">
        <v>49235.94</v>
      </c>
      <c r="E290" s="72">
        <v>50036</v>
      </c>
      <c r="F290" s="72">
        <v>51236</v>
      </c>
    </row>
    <row r="291" spans="1:6" x14ac:dyDescent="0.2">
      <c r="A291" s="18" t="s">
        <v>824</v>
      </c>
      <c r="B291" s="254" t="s">
        <v>1905</v>
      </c>
      <c r="C291" s="67">
        <v>161732.78</v>
      </c>
      <c r="D291" s="67">
        <v>156777.13</v>
      </c>
      <c r="E291" s="66">
        <f>262156-E290-E292</f>
        <v>174690</v>
      </c>
      <c r="F291" s="66">
        <f>273360-F290-F292</f>
        <v>183014</v>
      </c>
    </row>
    <row r="292" spans="1:6" x14ac:dyDescent="0.2">
      <c r="A292" s="18" t="s">
        <v>1064</v>
      </c>
      <c r="B292" s="254" t="s">
        <v>1963</v>
      </c>
      <c r="C292" s="67">
        <v>34069.43</v>
      </c>
      <c r="D292" s="67">
        <v>34573.839999999997</v>
      </c>
      <c r="E292" s="67">
        <f>18715+18715</f>
        <v>37430</v>
      </c>
      <c r="F292" s="67">
        <f>19555*2</f>
        <v>39110</v>
      </c>
    </row>
    <row r="293" spans="1:6" x14ac:dyDescent="0.2">
      <c r="A293" s="18" t="s">
        <v>825</v>
      </c>
      <c r="B293" s="254" t="s">
        <v>1893</v>
      </c>
      <c r="C293" s="67">
        <v>466.23</v>
      </c>
      <c r="D293" s="67">
        <v>1285.6600000000001</v>
      </c>
      <c r="E293" s="67">
        <v>1680</v>
      </c>
      <c r="F293" s="67">
        <v>1920</v>
      </c>
    </row>
    <row r="294" spans="1:6" x14ac:dyDescent="0.2">
      <c r="A294" s="18" t="s">
        <v>826</v>
      </c>
      <c r="B294" s="254" t="s">
        <v>1895</v>
      </c>
      <c r="C294" s="67">
        <v>16614.23</v>
      </c>
      <c r="D294" s="67">
        <v>16884.14</v>
      </c>
      <c r="E294" s="67">
        <v>20183</v>
      </c>
      <c r="F294" s="67">
        <v>21059</v>
      </c>
    </row>
    <row r="295" spans="1:6" x14ac:dyDescent="0.2">
      <c r="A295" s="18" t="s">
        <v>827</v>
      </c>
      <c r="B295" s="254" t="s">
        <v>1896</v>
      </c>
      <c r="C295" s="67">
        <v>27938.67</v>
      </c>
      <c r="D295" s="67">
        <v>28699.9</v>
      </c>
      <c r="E295" s="67">
        <v>32452</v>
      </c>
      <c r="F295" s="67">
        <v>34245</v>
      </c>
    </row>
    <row r="296" spans="1:6" x14ac:dyDescent="0.2">
      <c r="A296" s="18" t="s">
        <v>828</v>
      </c>
      <c r="B296" s="254" t="s">
        <v>1897</v>
      </c>
      <c r="C296" s="34">
        <v>46836.53</v>
      </c>
      <c r="D296" s="34">
        <v>47240</v>
      </c>
      <c r="E296" s="34">
        <f>54600+548</f>
        <v>55148</v>
      </c>
      <c r="F296" s="34">
        <f>54600+548</f>
        <v>55148</v>
      </c>
    </row>
    <row r="297" spans="1:6" x14ac:dyDescent="0.2">
      <c r="A297" s="18" t="s">
        <v>1062</v>
      </c>
      <c r="B297" s="254" t="s">
        <v>1910</v>
      </c>
      <c r="C297" s="34">
        <v>300.04000000000002</v>
      </c>
      <c r="D297" s="34">
        <v>324.02999999999997</v>
      </c>
      <c r="E297" s="34">
        <v>1500</v>
      </c>
      <c r="F297" s="34">
        <v>2500</v>
      </c>
    </row>
    <row r="298" spans="1:6" x14ac:dyDescent="0.2">
      <c r="A298" s="18" t="s">
        <v>829</v>
      </c>
      <c r="B298" s="254" t="s">
        <v>1967</v>
      </c>
      <c r="C298" s="67">
        <v>11818.24</v>
      </c>
      <c r="D298" s="67">
        <v>11048.18</v>
      </c>
      <c r="E298" s="67">
        <v>15000</v>
      </c>
      <c r="F298" s="67">
        <v>15000</v>
      </c>
    </row>
    <row r="299" spans="1:6" x14ac:dyDescent="0.2">
      <c r="A299" s="18" t="s">
        <v>830</v>
      </c>
      <c r="B299" s="254" t="s">
        <v>1900</v>
      </c>
      <c r="C299" s="67">
        <v>8401.4699999999993</v>
      </c>
      <c r="D299" s="67">
        <v>8906.9500000000007</v>
      </c>
      <c r="E299" s="67">
        <v>10000</v>
      </c>
      <c r="F299" s="67">
        <v>10000</v>
      </c>
    </row>
    <row r="300" spans="1:6" x14ac:dyDescent="0.2">
      <c r="A300" s="61" t="s">
        <v>2332</v>
      </c>
      <c r="B300" s="254" t="s">
        <v>1901</v>
      </c>
      <c r="C300" s="67">
        <v>0</v>
      </c>
      <c r="D300" s="67">
        <v>0</v>
      </c>
      <c r="E300" s="67">
        <v>0</v>
      </c>
      <c r="F300" s="67">
        <v>500</v>
      </c>
    </row>
    <row r="301" spans="1:6" x14ac:dyDescent="0.2">
      <c r="A301" s="18" t="s">
        <v>831</v>
      </c>
      <c r="B301" s="254" t="s">
        <v>1902</v>
      </c>
      <c r="C301" s="67">
        <v>4022.93</v>
      </c>
      <c r="D301" s="67">
        <v>2932.31</v>
      </c>
      <c r="E301" s="67">
        <v>5000</v>
      </c>
      <c r="F301" s="67">
        <v>4000</v>
      </c>
    </row>
    <row r="302" spans="1:6" x14ac:dyDescent="0.2">
      <c r="A302" s="18" t="s">
        <v>832</v>
      </c>
      <c r="B302" s="254" t="s">
        <v>1903</v>
      </c>
      <c r="C302" s="67">
        <v>200</v>
      </c>
      <c r="D302" s="67">
        <v>200</v>
      </c>
      <c r="E302" s="67">
        <v>200</v>
      </c>
      <c r="F302" s="67">
        <v>200</v>
      </c>
    </row>
    <row r="303" spans="1:6" x14ac:dyDescent="0.2">
      <c r="A303" s="18" t="s">
        <v>833</v>
      </c>
      <c r="B303" s="254" t="s">
        <v>1904</v>
      </c>
      <c r="C303" s="34">
        <v>0</v>
      </c>
      <c r="D303" s="34">
        <v>0</v>
      </c>
      <c r="E303" s="34">
        <v>0</v>
      </c>
      <c r="F303" s="34">
        <v>6000</v>
      </c>
    </row>
    <row r="304" spans="1:6" x14ac:dyDescent="0.2">
      <c r="A304" s="18"/>
      <c r="B304" s="6" t="s">
        <v>1099</v>
      </c>
      <c r="C304" s="69">
        <f>SUM(C290:C303)</f>
        <v>360836.47</v>
      </c>
      <c r="D304" s="87">
        <f>SUM(D290:D303)</f>
        <v>358108.08000000007</v>
      </c>
      <c r="E304" s="69">
        <f>SUM(E290:E303)</f>
        <v>403319</v>
      </c>
      <c r="F304" s="69">
        <f>SUM(F290:F303)</f>
        <v>423932</v>
      </c>
    </row>
    <row r="305" spans="1:6" x14ac:dyDescent="0.2">
      <c r="A305" s="18"/>
      <c r="B305" s="4" t="s">
        <v>638</v>
      </c>
      <c r="C305" s="75" t="s">
        <v>1410</v>
      </c>
      <c r="D305" s="230" t="s">
        <v>1410</v>
      </c>
      <c r="E305" s="75" t="s">
        <v>1410</v>
      </c>
      <c r="F305" s="75" t="s">
        <v>1410</v>
      </c>
    </row>
    <row r="306" spans="1:6" x14ac:dyDescent="0.2">
      <c r="A306" s="18"/>
      <c r="B306" s="4" t="s">
        <v>963</v>
      </c>
      <c r="C306" s="75" t="s">
        <v>1410</v>
      </c>
      <c r="D306" s="230" t="s">
        <v>1410</v>
      </c>
      <c r="E306" s="75" t="s">
        <v>1410</v>
      </c>
      <c r="F306" s="75" t="s">
        <v>1410</v>
      </c>
    </row>
    <row r="307" spans="1:6" x14ac:dyDescent="0.2">
      <c r="A307" s="18"/>
      <c r="B307" s="4" t="s">
        <v>130</v>
      </c>
      <c r="C307" s="75" t="s">
        <v>1410</v>
      </c>
      <c r="D307" s="230" t="s">
        <v>1410</v>
      </c>
      <c r="E307" s="75" t="s">
        <v>1410</v>
      </c>
      <c r="F307" s="75" t="s">
        <v>1410</v>
      </c>
    </row>
    <row r="308" spans="1:6" x14ac:dyDescent="0.2">
      <c r="A308" s="18"/>
      <c r="C308" s="77" t="str">
        <f>+$C$4</f>
        <v>2018 ACTUAL</v>
      </c>
      <c r="D308" s="266" t="str">
        <f>+D$4</f>
        <v>2019 ACTUAL</v>
      </c>
      <c r="E308" s="77" t="str">
        <f>+E$4</f>
        <v>2020 BUDGET</v>
      </c>
      <c r="F308" s="77" t="str">
        <f>+F$4</f>
        <v>2021 BUDGET</v>
      </c>
    </row>
    <row r="309" spans="1:6" x14ac:dyDescent="0.2">
      <c r="A309" s="59" t="s">
        <v>834</v>
      </c>
      <c r="B309" s="4" t="s">
        <v>843</v>
      </c>
    </row>
    <row r="310" spans="1:6" x14ac:dyDescent="0.2">
      <c r="A310" s="18" t="s">
        <v>835</v>
      </c>
      <c r="B310" s="254" t="s">
        <v>1888</v>
      </c>
      <c r="C310" s="66">
        <v>18639.919999999998</v>
      </c>
      <c r="D310" s="67">
        <v>18639.919999999998</v>
      </c>
      <c r="E310" s="66">
        <v>18000</v>
      </c>
      <c r="F310" s="66">
        <v>18000</v>
      </c>
    </row>
    <row r="311" spans="1:6" x14ac:dyDescent="0.2">
      <c r="A311" s="18" t="s">
        <v>0</v>
      </c>
      <c r="B311" s="254" t="s">
        <v>1968</v>
      </c>
      <c r="C311" s="82">
        <v>307272.46999999997</v>
      </c>
      <c r="D311" s="82">
        <v>304102.13</v>
      </c>
      <c r="E311" s="82">
        <f>65138+54326+53118+53118+53118+53118</f>
        <v>331936</v>
      </c>
      <c r="F311" s="82">
        <f>66338+55526+55526+54318+55526+54318</f>
        <v>341552</v>
      </c>
    </row>
    <row r="312" spans="1:6" x14ac:dyDescent="0.2">
      <c r="A312" s="18" t="s">
        <v>1</v>
      </c>
      <c r="B312" s="254" t="s">
        <v>1969</v>
      </c>
      <c r="C312" s="82">
        <v>49191.23</v>
      </c>
      <c r="D312" s="82">
        <v>49465.440000000002</v>
      </c>
      <c r="E312" s="82">
        <v>45452</v>
      </c>
      <c r="F312" s="82">
        <v>46652</v>
      </c>
    </row>
    <row r="313" spans="1:6" x14ac:dyDescent="0.2">
      <c r="A313" s="18" t="s">
        <v>2</v>
      </c>
      <c r="B313" s="254" t="s">
        <v>1970</v>
      </c>
      <c r="C313" s="82">
        <v>42861</v>
      </c>
      <c r="D313" s="82">
        <v>44652.14</v>
      </c>
      <c r="E313" s="82">
        <v>46468</v>
      </c>
      <c r="F313" s="82">
        <v>47668</v>
      </c>
    </row>
    <row r="314" spans="1:6" x14ac:dyDescent="0.2">
      <c r="A314" s="18" t="s">
        <v>3</v>
      </c>
      <c r="B314" s="254" t="s">
        <v>1908</v>
      </c>
      <c r="C314" s="82">
        <v>129344.33</v>
      </c>
      <c r="D314" s="82">
        <v>130919.81</v>
      </c>
      <c r="E314" s="82">
        <f>36562+39857+25680+37355</f>
        <v>139454</v>
      </c>
      <c r="F314" s="82">
        <f>37762+41057+26880+38555</f>
        <v>144254</v>
      </c>
    </row>
    <row r="315" spans="1:6" x14ac:dyDescent="0.2">
      <c r="A315" s="18" t="s">
        <v>7</v>
      </c>
      <c r="B315" s="254" t="s">
        <v>1893</v>
      </c>
      <c r="C315" s="82">
        <v>1583.62</v>
      </c>
      <c r="D315" s="82">
        <v>2979.02</v>
      </c>
      <c r="E315" s="82">
        <v>2820</v>
      </c>
      <c r="F315" s="82">
        <v>3120</v>
      </c>
    </row>
    <row r="316" spans="1:6" x14ac:dyDescent="0.2">
      <c r="A316" s="18" t="s">
        <v>6</v>
      </c>
      <c r="B316" s="254" t="s">
        <v>1971</v>
      </c>
      <c r="C316" s="82">
        <v>2898.56</v>
      </c>
      <c r="D316" s="82">
        <v>6009.5</v>
      </c>
      <c r="E316" s="82">
        <f>8160+2640</f>
        <v>10800</v>
      </c>
      <c r="F316" s="82">
        <v>6000</v>
      </c>
    </row>
    <row r="317" spans="1:6" x14ac:dyDescent="0.2">
      <c r="A317" s="18" t="s">
        <v>4</v>
      </c>
      <c r="B317" s="254" t="s">
        <v>1972</v>
      </c>
      <c r="C317" s="82">
        <v>19240.490000000002</v>
      </c>
      <c r="D317" s="82">
        <v>14442.58</v>
      </c>
      <c r="E317" s="82">
        <v>18750</v>
      </c>
      <c r="F317" s="82">
        <v>16750</v>
      </c>
    </row>
    <row r="318" spans="1:6" x14ac:dyDescent="0.2">
      <c r="A318" s="18" t="s">
        <v>5</v>
      </c>
      <c r="B318" s="254" t="s">
        <v>1961</v>
      </c>
      <c r="C318" s="82">
        <v>3999.84</v>
      </c>
      <c r="D318" s="82">
        <v>3930.61</v>
      </c>
      <c r="E318" s="82">
        <v>4000</v>
      </c>
      <c r="F318" s="82">
        <v>4000</v>
      </c>
    </row>
    <row r="319" spans="1:6" x14ac:dyDescent="0.2">
      <c r="A319" s="18" t="s">
        <v>762</v>
      </c>
      <c r="B319" s="254" t="s">
        <v>1895</v>
      </c>
      <c r="C319" s="82">
        <v>41088.58</v>
      </c>
      <c r="D319" s="82">
        <v>41944.4</v>
      </c>
      <c r="E319" s="82">
        <v>49968</v>
      </c>
      <c r="F319" s="82">
        <v>50719</v>
      </c>
    </row>
    <row r="320" spans="1:6" x14ac:dyDescent="0.2">
      <c r="A320" s="18" t="s">
        <v>763</v>
      </c>
      <c r="B320" s="254" t="s">
        <v>1896</v>
      </c>
      <c r="C320" s="82">
        <v>70299.070000000007</v>
      </c>
      <c r="D320" s="82">
        <v>71194.559999999998</v>
      </c>
      <c r="E320" s="82">
        <v>80341</v>
      </c>
      <c r="F320" s="82">
        <v>82477</v>
      </c>
    </row>
    <row r="321" spans="1:8" x14ac:dyDescent="0.2">
      <c r="A321" s="18" t="s">
        <v>764</v>
      </c>
      <c r="B321" s="254" t="s">
        <v>1897</v>
      </c>
      <c r="C321" s="82">
        <v>73649.490000000005</v>
      </c>
      <c r="D321" s="82">
        <v>61197.61</v>
      </c>
      <c r="E321" s="82">
        <f>78000+1017</f>
        <v>79017</v>
      </c>
      <c r="F321" s="82">
        <f>78000+1017</f>
        <v>79017</v>
      </c>
    </row>
    <row r="322" spans="1:8" x14ac:dyDescent="0.2">
      <c r="A322" s="18" t="s">
        <v>765</v>
      </c>
      <c r="B322" s="254" t="s">
        <v>1899</v>
      </c>
      <c r="C322" s="82">
        <v>6333.26</v>
      </c>
      <c r="D322" s="82">
        <v>10451.469999999999</v>
      </c>
      <c r="E322" s="82">
        <v>6000</v>
      </c>
      <c r="F322" s="82">
        <v>6000</v>
      </c>
    </row>
    <row r="323" spans="1:8" x14ac:dyDescent="0.2">
      <c r="A323" s="18" t="s">
        <v>766</v>
      </c>
      <c r="B323" s="254" t="s">
        <v>1900</v>
      </c>
      <c r="C323" s="82">
        <v>1007.38</v>
      </c>
      <c r="D323" s="82">
        <v>1021.42</v>
      </c>
      <c r="E323" s="82">
        <v>2000</v>
      </c>
      <c r="F323" s="82">
        <v>1000</v>
      </c>
    </row>
    <row r="324" spans="1:8" x14ac:dyDescent="0.2">
      <c r="A324" s="18" t="s">
        <v>462</v>
      </c>
      <c r="B324" s="254" t="s">
        <v>1973</v>
      </c>
      <c r="C324" s="82">
        <v>3368.05</v>
      </c>
      <c r="D324" s="82">
        <v>3096.14</v>
      </c>
      <c r="E324" s="82">
        <v>4000</v>
      </c>
      <c r="F324" s="82">
        <v>4000</v>
      </c>
    </row>
    <row r="325" spans="1:8" x14ac:dyDescent="0.2">
      <c r="A325" s="18" t="s">
        <v>767</v>
      </c>
      <c r="B325" s="254" t="s">
        <v>1974</v>
      </c>
      <c r="C325" s="82">
        <v>2236</v>
      </c>
      <c r="D325" s="82">
        <v>5881.45</v>
      </c>
      <c r="E325" s="82">
        <v>6000</v>
      </c>
      <c r="F325" s="82">
        <v>6000</v>
      </c>
    </row>
    <row r="326" spans="1:8" x14ac:dyDescent="0.2">
      <c r="A326" s="18" t="s">
        <v>1569</v>
      </c>
      <c r="B326" s="254" t="s">
        <v>1975</v>
      </c>
      <c r="C326" s="82">
        <v>10941.46</v>
      </c>
      <c r="D326" s="82">
        <v>0</v>
      </c>
      <c r="E326" s="82">
        <v>4000</v>
      </c>
      <c r="F326" s="82">
        <v>5000</v>
      </c>
    </row>
    <row r="327" spans="1:8" x14ac:dyDescent="0.2">
      <c r="A327" s="18" t="s">
        <v>768</v>
      </c>
      <c r="B327" s="254" t="s">
        <v>1901</v>
      </c>
      <c r="C327" s="82">
        <v>0</v>
      </c>
      <c r="D327" s="82">
        <v>0</v>
      </c>
      <c r="E327" s="82">
        <v>0</v>
      </c>
      <c r="F327" s="82">
        <v>0</v>
      </c>
    </row>
    <row r="328" spans="1:8" x14ac:dyDescent="0.2">
      <c r="A328" s="18" t="s">
        <v>769</v>
      </c>
      <c r="B328" s="254" t="s">
        <v>1902</v>
      </c>
      <c r="C328" s="82">
        <v>0</v>
      </c>
      <c r="D328" s="82">
        <v>0</v>
      </c>
      <c r="E328" s="82">
        <v>10000</v>
      </c>
      <c r="F328" s="82">
        <v>10000</v>
      </c>
    </row>
    <row r="329" spans="1:8" x14ac:dyDescent="0.2">
      <c r="A329" s="18" t="s">
        <v>770</v>
      </c>
      <c r="B329" s="254" t="s">
        <v>1976</v>
      </c>
      <c r="C329" s="82">
        <v>1572.81</v>
      </c>
      <c r="D329" s="82">
        <v>3516.48</v>
      </c>
      <c r="E329" s="82">
        <v>2500</v>
      </c>
      <c r="F329" s="82">
        <v>3000</v>
      </c>
    </row>
    <row r="330" spans="1:8" x14ac:dyDescent="0.2">
      <c r="A330" s="18" t="s">
        <v>771</v>
      </c>
      <c r="B330" s="254" t="s">
        <v>1903</v>
      </c>
      <c r="C330" s="82">
        <v>0</v>
      </c>
      <c r="D330" s="82">
        <v>178</v>
      </c>
      <c r="E330" s="82">
        <v>0</v>
      </c>
      <c r="F330" s="82">
        <v>0</v>
      </c>
      <c r="H330" s="76"/>
    </row>
    <row r="331" spans="1:8" x14ac:dyDescent="0.2">
      <c r="A331" s="18" t="s">
        <v>756</v>
      </c>
      <c r="B331" s="254" t="s">
        <v>1904</v>
      </c>
      <c r="C331" s="82">
        <v>2190.91</v>
      </c>
      <c r="D331" s="82">
        <v>800.91</v>
      </c>
      <c r="E331" s="82">
        <v>2000</v>
      </c>
      <c r="F331" s="82">
        <v>2000</v>
      </c>
    </row>
    <row r="332" spans="1:8" x14ac:dyDescent="0.2">
      <c r="A332" s="61" t="s">
        <v>2329</v>
      </c>
      <c r="B332" s="254" t="s">
        <v>2317</v>
      </c>
      <c r="C332" s="82">
        <v>0</v>
      </c>
      <c r="D332" s="82">
        <v>0</v>
      </c>
      <c r="E332" s="82">
        <v>0</v>
      </c>
      <c r="F332" s="82">
        <v>19396.32</v>
      </c>
    </row>
    <row r="333" spans="1:8" x14ac:dyDescent="0.2">
      <c r="A333" s="18"/>
      <c r="B333" s="6" t="s">
        <v>1099</v>
      </c>
      <c r="C333" s="87">
        <f t="shared" ref="C333:F333" si="5">SUM(C310:C332)</f>
        <v>787718.47</v>
      </c>
      <c r="D333" s="87">
        <f t="shared" si="5"/>
        <v>774423.58999999985</v>
      </c>
      <c r="E333" s="87">
        <f t="shared" si="5"/>
        <v>863506</v>
      </c>
      <c r="F333" s="87">
        <f t="shared" si="5"/>
        <v>896605.32</v>
      </c>
    </row>
    <row r="334" spans="1:8" ht="12.75" customHeight="1" x14ac:dyDescent="0.2">
      <c r="A334" s="59" t="s">
        <v>284</v>
      </c>
      <c r="B334" s="4" t="s">
        <v>845</v>
      </c>
    </row>
    <row r="335" spans="1:8" ht="12.75" customHeight="1" x14ac:dyDescent="0.2">
      <c r="A335" s="18" t="s">
        <v>285</v>
      </c>
      <c r="B335" s="254" t="s">
        <v>1888</v>
      </c>
      <c r="C335" s="66">
        <v>44734.04</v>
      </c>
      <c r="D335" s="67">
        <v>44219.81</v>
      </c>
      <c r="E335" s="66">
        <v>46334</v>
      </c>
      <c r="F335" s="66">
        <v>47534</v>
      </c>
    </row>
    <row r="336" spans="1:8" ht="12.75" customHeight="1" x14ac:dyDescent="0.2">
      <c r="A336" s="18" t="s">
        <v>147</v>
      </c>
      <c r="B336" s="254" t="s">
        <v>1977</v>
      </c>
      <c r="C336" s="67">
        <v>0</v>
      </c>
      <c r="D336" s="67">
        <v>0</v>
      </c>
      <c r="E336" s="67">
        <v>0</v>
      </c>
      <c r="F336" s="67">
        <v>0</v>
      </c>
    </row>
    <row r="337" spans="1:6" ht="12.75" customHeight="1" x14ac:dyDescent="0.2">
      <c r="A337" s="18" t="s">
        <v>219</v>
      </c>
      <c r="B337" s="254" t="s">
        <v>1908</v>
      </c>
      <c r="C337" s="67">
        <v>50548.81</v>
      </c>
      <c r="D337" s="67">
        <v>45363.22</v>
      </c>
      <c r="E337" s="67">
        <f>28422+26202</f>
        <v>54624</v>
      </c>
      <c r="F337" s="67">
        <f>27936+27402</f>
        <v>55338</v>
      </c>
    </row>
    <row r="338" spans="1:6" ht="12.75" customHeight="1" x14ac:dyDescent="0.2">
      <c r="A338" s="18" t="s">
        <v>220</v>
      </c>
      <c r="B338" s="254" t="s">
        <v>1893</v>
      </c>
      <c r="C338" s="67">
        <v>775.39</v>
      </c>
      <c r="D338" s="67">
        <v>1109.8499999999999</v>
      </c>
      <c r="E338" s="67">
        <v>720</v>
      </c>
      <c r="F338" s="67">
        <v>0</v>
      </c>
    </row>
    <row r="339" spans="1:6" ht="12.75" customHeight="1" x14ac:dyDescent="0.2">
      <c r="A339" s="18" t="s">
        <v>221</v>
      </c>
      <c r="B339" s="254" t="s">
        <v>1895</v>
      </c>
      <c r="C339" s="67">
        <v>7171.47</v>
      </c>
      <c r="D339" s="67">
        <v>6862.88</v>
      </c>
      <c r="E339" s="67">
        <v>8198</v>
      </c>
      <c r="F339" s="67">
        <v>8289</v>
      </c>
    </row>
    <row r="340" spans="1:6" ht="12.75" customHeight="1" x14ac:dyDescent="0.2">
      <c r="A340" s="18" t="s">
        <v>222</v>
      </c>
      <c r="B340" s="254" t="s">
        <v>1896</v>
      </c>
      <c r="C340" s="67">
        <v>11250.72</v>
      </c>
      <c r="D340" s="67">
        <v>10754.53</v>
      </c>
      <c r="E340" s="67">
        <v>12506</v>
      </c>
      <c r="F340" s="67">
        <v>12797</v>
      </c>
    </row>
    <row r="341" spans="1:6" ht="12.75" customHeight="1" x14ac:dyDescent="0.2">
      <c r="A341" s="18" t="s">
        <v>223</v>
      </c>
      <c r="B341" s="254" t="s">
        <v>1897</v>
      </c>
      <c r="C341" s="67">
        <v>13920</v>
      </c>
      <c r="D341" s="67">
        <v>13064.9</v>
      </c>
      <c r="E341" s="67">
        <f>23400+235</f>
        <v>23635</v>
      </c>
      <c r="F341" s="67">
        <f>15600+235</f>
        <v>15835</v>
      </c>
    </row>
    <row r="342" spans="1:6" ht="12.75" customHeight="1" x14ac:dyDescent="0.2">
      <c r="A342" s="18" t="s">
        <v>224</v>
      </c>
      <c r="B342" s="254" t="s">
        <v>1898</v>
      </c>
      <c r="C342" s="67">
        <v>5000.0600000000004</v>
      </c>
      <c r="D342" s="67">
        <v>4846.21</v>
      </c>
      <c r="E342" s="67">
        <v>5000</v>
      </c>
      <c r="F342" s="67">
        <v>5000</v>
      </c>
    </row>
    <row r="343" spans="1:6" ht="12.75" customHeight="1" x14ac:dyDescent="0.2">
      <c r="A343" s="18" t="s">
        <v>160</v>
      </c>
      <c r="B343" s="254" t="s">
        <v>1910</v>
      </c>
      <c r="C343" s="67">
        <v>0</v>
      </c>
      <c r="D343" s="67">
        <v>0</v>
      </c>
      <c r="E343" s="67">
        <v>0</v>
      </c>
      <c r="F343" s="67">
        <v>0</v>
      </c>
    </row>
    <row r="344" spans="1:6" ht="12.75" customHeight="1" x14ac:dyDescent="0.2">
      <c r="A344" s="18" t="s">
        <v>225</v>
      </c>
      <c r="B344" s="254" t="s">
        <v>1899</v>
      </c>
      <c r="C344" s="67">
        <v>497.64</v>
      </c>
      <c r="D344" s="67">
        <v>1221.06</v>
      </c>
      <c r="E344" s="67">
        <v>1500</v>
      </c>
      <c r="F344" s="67">
        <v>1500</v>
      </c>
    </row>
    <row r="345" spans="1:6" ht="12.75" customHeight="1" x14ac:dyDescent="0.2">
      <c r="A345" s="18" t="s">
        <v>226</v>
      </c>
      <c r="B345" s="254" t="s">
        <v>1900</v>
      </c>
      <c r="C345" s="67">
        <v>512.54999999999995</v>
      </c>
      <c r="D345" s="67">
        <v>438.19</v>
      </c>
      <c r="E345" s="67">
        <v>1100</v>
      </c>
      <c r="F345" s="67">
        <v>1100</v>
      </c>
    </row>
    <row r="346" spans="1:6" ht="12.75" customHeight="1" x14ac:dyDescent="0.2">
      <c r="A346" s="18" t="s">
        <v>227</v>
      </c>
      <c r="B346" s="254" t="s">
        <v>1901</v>
      </c>
      <c r="C346" s="67">
        <v>0</v>
      </c>
      <c r="D346" s="67">
        <v>0</v>
      </c>
      <c r="E346" s="67">
        <v>0</v>
      </c>
      <c r="F346" s="67">
        <v>0</v>
      </c>
    </row>
    <row r="347" spans="1:6" ht="12.75" customHeight="1" x14ac:dyDescent="0.2">
      <c r="A347" s="18" t="s">
        <v>228</v>
      </c>
      <c r="B347" s="254" t="s">
        <v>1978</v>
      </c>
      <c r="C347" s="67">
        <v>0</v>
      </c>
      <c r="D347" s="67">
        <v>149.9</v>
      </c>
      <c r="E347" s="67">
        <v>2500</v>
      </c>
      <c r="F347" s="67">
        <v>2500</v>
      </c>
    </row>
    <row r="348" spans="1:6" ht="12.75" customHeight="1" x14ac:dyDescent="0.2">
      <c r="A348" s="18" t="s">
        <v>229</v>
      </c>
      <c r="B348" s="254" t="s">
        <v>1979</v>
      </c>
      <c r="C348" s="67">
        <v>0</v>
      </c>
      <c r="D348" s="67">
        <v>0</v>
      </c>
      <c r="E348" s="67">
        <v>0</v>
      </c>
      <c r="F348" s="67">
        <v>0</v>
      </c>
    </row>
    <row r="349" spans="1:6" ht="12.75" customHeight="1" x14ac:dyDescent="0.2">
      <c r="A349" s="18" t="s">
        <v>231</v>
      </c>
      <c r="B349" s="254" t="s">
        <v>1903</v>
      </c>
      <c r="C349" s="67">
        <v>0</v>
      </c>
      <c r="D349" s="67">
        <v>50</v>
      </c>
      <c r="E349" s="67">
        <v>0</v>
      </c>
      <c r="F349" s="67">
        <v>0</v>
      </c>
    </row>
    <row r="350" spans="1:6" ht="12.75" customHeight="1" x14ac:dyDescent="0.2">
      <c r="A350" s="18" t="s">
        <v>232</v>
      </c>
      <c r="B350" s="254" t="s">
        <v>1904</v>
      </c>
      <c r="C350" s="67">
        <v>0</v>
      </c>
      <c r="D350" s="67">
        <v>809.43</v>
      </c>
      <c r="E350" s="67">
        <v>1000</v>
      </c>
      <c r="F350" s="67">
        <v>2000</v>
      </c>
    </row>
    <row r="351" spans="1:6" ht="11.85" customHeight="1" x14ac:dyDescent="0.2">
      <c r="A351" s="18"/>
      <c r="B351" s="6" t="s">
        <v>1099</v>
      </c>
      <c r="C351" s="69">
        <f>SUM(C335:C350)</f>
        <v>134410.68000000002</v>
      </c>
      <c r="D351" s="87">
        <f>SUM(D335:D350)</f>
        <v>128889.98</v>
      </c>
      <c r="E351" s="69">
        <f>SUM(E335:E350)</f>
        <v>157117</v>
      </c>
      <c r="F351" s="69">
        <f>SUM(F335:F350)</f>
        <v>151893</v>
      </c>
    </row>
    <row r="352" spans="1:6" ht="11.85" customHeight="1" x14ac:dyDescent="0.2"/>
    <row r="353" spans="1:6" ht="12.75" customHeight="1" x14ac:dyDescent="0.2">
      <c r="A353" s="59" t="s">
        <v>466</v>
      </c>
      <c r="B353" s="4" t="s">
        <v>237</v>
      </c>
    </row>
    <row r="354" spans="1:6" ht="12.75" customHeight="1" x14ac:dyDescent="0.2">
      <c r="A354" s="18" t="s">
        <v>233</v>
      </c>
      <c r="B354" s="254" t="s">
        <v>1888</v>
      </c>
      <c r="C354" s="66">
        <v>44734.04</v>
      </c>
      <c r="D354" s="67">
        <v>45534.06</v>
      </c>
      <c r="E354" s="66">
        <v>46334</v>
      </c>
      <c r="F354" s="66">
        <v>47534</v>
      </c>
    </row>
    <row r="355" spans="1:6" ht="12.75" customHeight="1" x14ac:dyDescent="0.2">
      <c r="A355" s="18" t="s">
        <v>234</v>
      </c>
      <c r="B355" s="254" t="s">
        <v>1908</v>
      </c>
      <c r="C355" s="34">
        <v>52491.92</v>
      </c>
      <c r="D355" s="34">
        <v>54091.96</v>
      </c>
      <c r="E355" s="34">
        <f>27846*2</f>
        <v>55692</v>
      </c>
      <c r="F355" s="34">
        <f>29622*2</f>
        <v>59244</v>
      </c>
    </row>
    <row r="356" spans="1:6" ht="12.75" customHeight="1" x14ac:dyDescent="0.2">
      <c r="A356" s="18" t="s">
        <v>235</v>
      </c>
      <c r="B356" s="254" t="s">
        <v>1893</v>
      </c>
      <c r="C356" s="34">
        <v>475.34</v>
      </c>
      <c r="D356" s="34">
        <v>1345.46</v>
      </c>
      <c r="E356" s="34">
        <v>1560</v>
      </c>
      <c r="F356" s="34">
        <v>1740</v>
      </c>
    </row>
    <row r="357" spans="1:6" ht="12.75" customHeight="1" x14ac:dyDescent="0.2">
      <c r="A357" s="18" t="s">
        <v>236</v>
      </c>
      <c r="B357" s="254" t="s">
        <v>1895</v>
      </c>
      <c r="C357" s="34">
        <v>7520.57</v>
      </c>
      <c r="D357" s="34">
        <v>7761.74</v>
      </c>
      <c r="E357" s="34">
        <v>8242</v>
      </c>
      <c r="F357" s="34">
        <v>8619</v>
      </c>
    </row>
    <row r="358" spans="1:6" ht="12.75" customHeight="1" x14ac:dyDescent="0.2">
      <c r="A358" s="18" t="s">
        <v>238</v>
      </c>
      <c r="B358" s="254" t="s">
        <v>1896</v>
      </c>
      <c r="C358" s="34">
        <v>11442.16</v>
      </c>
      <c r="D358" s="34">
        <v>11983.26</v>
      </c>
      <c r="E358" s="34">
        <v>12741</v>
      </c>
      <c r="F358" s="34">
        <v>13500</v>
      </c>
    </row>
    <row r="359" spans="1:6" ht="12.75" customHeight="1" x14ac:dyDescent="0.2">
      <c r="A359" s="18" t="s">
        <v>239</v>
      </c>
      <c r="B359" s="254" t="s">
        <v>1897</v>
      </c>
      <c r="C359" s="67">
        <v>20880</v>
      </c>
      <c r="D359" s="67">
        <v>23295</v>
      </c>
      <c r="E359" s="67">
        <f>23400+235</f>
        <v>23635</v>
      </c>
      <c r="F359" s="67">
        <f>23400+235</f>
        <v>23635</v>
      </c>
    </row>
    <row r="360" spans="1:6" ht="12.75" customHeight="1" x14ac:dyDescent="0.2">
      <c r="A360" s="18" t="s">
        <v>240</v>
      </c>
      <c r="B360" s="254" t="s">
        <v>1898</v>
      </c>
      <c r="C360" s="67">
        <v>3675.1</v>
      </c>
      <c r="D360" s="67">
        <v>3675.1</v>
      </c>
      <c r="E360" s="67">
        <v>3675</v>
      </c>
      <c r="F360" s="67">
        <v>3675</v>
      </c>
    </row>
    <row r="361" spans="1:6" ht="12.75" customHeight="1" x14ac:dyDescent="0.2">
      <c r="A361" s="18" t="s">
        <v>161</v>
      </c>
      <c r="B361" s="254" t="s">
        <v>1910</v>
      </c>
      <c r="C361" s="67">
        <v>0</v>
      </c>
      <c r="D361" s="67">
        <v>0</v>
      </c>
      <c r="E361" s="67">
        <v>0</v>
      </c>
      <c r="F361" s="67">
        <v>0</v>
      </c>
    </row>
    <row r="362" spans="1:6" ht="12.75" customHeight="1" x14ac:dyDescent="0.2">
      <c r="A362" s="18" t="s">
        <v>241</v>
      </c>
      <c r="B362" s="254" t="s">
        <v>1899</v>
      </c>
      <c r="C362" s="67">
        <v>1354.95</v>
      </c>
      <c r="D362" s="67">
        <v>1711.14</v>
      </c>
      <c r="E362" s="67">
        <v>1400</v>
      </c>
      <c r="F362" s="67">
        <v>1500</v>
      </c>
    </row>
    <row r="363" spans="1:6" ht="12.75" customHeight="1" x14ac:dyDescent="0.2">
      <c r="A363" s="18" t="s">
        <v>242</v>
      </c>
      <c r="B363" s="254" t="s">
        <v>1900</v>
      </c>
      <c r="C363" s="67">
        <v>626.69000000000005</v>
      </c>
      <c r="D363" s="67">
        <v>614.59</v>
      </c>
      <c r="E363" s="67">
        <v>800</v>
      </c>
      <c r="F363" s="67">
        <v>800</v>
      </c>
    </row>
    <row r="364" spans="1:6" ht="12.75" customHeight="1" x14ac:dyDescent="0.2">
      <c r="A364" s="18" t="s">
        <v>256</v>
      </c>
      <c r="B364" s="254" t="s">
        <v>1978</v>
      </c>
      <c r="C364" s="67">
        <v>1068.56</v>
      </c>
      <c r="D364" s="67">
        <v>100</v>
      </c>
      <c r="E364" s="67">
        <v>1500</v>
      </c>
      <c r="F364" s="67">
        <v>2000</v>
      </c>
    </row>
    <row r="365" spans="1:6" ht="12.75" customHeight="1" x14ac:dyDescent="0.2">
      <c r="A365" s="18" t="s">
        <v>243</v>
      </c>
      <c r="B365" s="254" t="s">
        <v>1903</v>
      </c>
      <c r="C365" s="67">
        <v>0</v>
      </c>
      <c r="D365" s="67">
        <v>178</v>
      </c>
      <c r="E365" s="67">
        <v>0</v>
      </c>
      <c r="F365" s="67">
        <v>0</v>
      </c>
    </row>
    <row r="366" spans="1:6" ht="12.75" customHeight="1" x14ac:dyDescent="0.2">
      <c r="A366" s="18" t="s">
        <v>244</v>
      </c>
      <c r="B366" s="254" t="s">
        <v>1904</v>
      </c>
      <c r="C366" s="67">
        <v>0</v>
      </c>
      <c r="D366" s="67">
        <v>0</v>
      </c>
      <c r="E366" s="67">
        <v>500</v>
      </c>
      <c r="F366" s="67">
        <v>1000</v>
      </c>
    </row>
    <row r="367" spans="1:6" ht="12.75" customHeight="1" x14ac:dyDescent="0.2">
      <c r="A367" s="18"/>
      <c r="B367" s="6" t="s">
        <v>1099</v>
      </c>
      <c r="C367" s="69">
        <f>SUM(C354:C366)</f>
        <v>144269.33000000002</v>
      </c>
      <c r="D367" s="87">
        <f>SUM(D354:D366)</f>
        <v>150290.31</v>
      </c>
      <c r="E367" s="69">
        <f>SUM(E354:E366)</f>
        <v>156079</v>
      </c>
      <c r="F367" s="69">
        <f>SUM(F354:F366)</f>
        <v>163247</v>
      </c>
    </row>
    <row r="368" spans="1:6" ht="12.75" customHeight="1" x14ac:dyDescent="0.2">
      <c r="A368" s="18"/>
      <c r="B368" s="4" t="s">
        <v>638</v>
      </c>
      <c r="C368" s="75" t="s">
        <v>1410</v>
      </c>
      <c r="D368" s="230" t="s">
        <v>1410</v>
      </c>
      <c r="E368" s="75" t="s">
        <v>1410</v>
      </c>
      <c r="F368" s="75" t="s">
        <v>1410</v>
      </c>
    </row>
    <row r="369" spans="1:6" ht="12.75" customHeight="1" x14ac:dyDescent="0.2">
      <c r="A369" s="18"/>
      <c r="B369" s="4" t="s">
        <v>963</v>
      </c>
      <c r="C369" s="75" t="s">
        <v>1410</v>
      </c>
      <c r="D369" s="230" t="s">
        <v>1410</v>
      </c>
      <c r="E369" s="75" t="s">
        <v>1410</v>
      </c>
      <c r="F369" s="75" t="s">
        <v>1410</v>
      </c>
    </row>
    <row r="370" spans="1:6" ht="12.75" customHeight="1" x14ac:dyDescent="0.2">
      <c r="A370" s="18"/>
      <c r="B370" s="4" t="s">
        <v>130</v>
      </c>
      <c r="C370" s="75" t="s">
        <v>1410</v>
      </c>
      <c r="D370" s="230" t="s">
        <v>1410</v>
      </c>
      <c r="E370" s="75" t="s">
        <v>1410</v>
      </c>
      <c r="F370" s="75" t="s">
        <v>1410</v>
      </c>
    </row>
    <row r="371" spans="1:6" ht="12.75" customHeight="1" x14ac:dyDescent="0.2">
      <c r="A371" s="18"/>
      <c r="C371" s="77" t="str">
        <f>+$C$4</f>
        <v>2018 ACTUAL</v>
      </c>
      <c r="D371" s="266" t="str">
        <f>+D$4</f>
        <v>2019 ACTUAL</v>
      </c>
      <c r="E371" s="77" t="str">
        <f>+E$4</f>
        <v>2020 BUDGET</v>
      </c>
      <c r="F371" s="77" t="str">
        <f>+F$4</f>
        <v>2021 BUDGET</v>
      </c>
    </row>
    <row r="372" spans="1:6" ht="12.75" customHeight="1" x14ac:dyDescent="0.2">
      <c r="A372" s="59" t="s">
        <v>245</v>
      </c>
      <c r="B372" s="4" t="s">
        <v>846</v>
      </c>
    </row>
    <row r="373" spans="1:6" ht="12.75" customHeight="1" x14ac:dyDescent="0.2">
      <c r="A373" s="18" t="s">
        <v>246</v>
      </c>
      <c r="B373" s="254" t="s">
        <v>1888</v>
      </c>
      <c r="C373" s="66">
        <v>44734.04</v>
      </c>
      <c r="D373" s="67">
        <v>45534.06</v>
      </c>
      <c r="E373" s="66">
        <v>46334</v>
      </c>
      <c r="F373" s="66">
        <v>47534</v>
      </c>
    </row>
    <row r="374" spans="1:6" ht="12.75" customHeight="1" x14ac:dyDescent="0.2">
      <c r="A374" s="18" t="s">
        <v>247</v>
      </c>
      <c r="B374" s="254" t="s">
        <v>1908</v>
      </c>
      <c r="C374" s="82">
        <v>61137.87</v>
      </c>
      <c r="D374" s="82">
        <v>62408.12</v>
      </c>
      <c r="E374" s="82">
        <f>27284+37355</f>
        <v>64639</v>
      </c>
      <c r="F374" s="82">
        <f>29622+39368</f>
        <v>68990</v>
      </c>
    </row>
    <row r="375" spans="1:6" ht="12.75" customHeight="1" x14ac:dyDescent="0.2">
      <c r="A375" s="18" t="s">
        <v>248</v>
      </c>
      <c r="B375" s="254" t="s">
        <v>1893</v>
      </c>
      <c r="C375" s="67">
        <v>1313.1</v>
      </c>
      <c r="D375" s="67">
        <v>2210.9</v>
      </c>
      <c r="E375" s="67">
        <v>2400</v>
      </c>
      <c r="F375" s="67">
        <v>2880</v>
      </c>
    </row>
    <row r="376" spans="1:6" ht="12.75" customHeight="1" x14ac:dyDescent="0.2">
      <c r="A376" s="18" t="s">
        <v>249</v>
      </c>
      <c r="B376" s="254" t="s">
        <v>1895</v>
      </c>
      <c r="C376" s="67">
        <v>8159.74</v>
      </c>
      <c r="D376" s="67">
        <v>8255.4500000000007</v>
      </c>
      <c r="E376" s="67">
        <v>9016</v>
      </c>
      <c r="F376" s="67">
        <v>9477</v>
      </c>
    </row>
    <row r="377" spans="1:6" ht="12.75" customHeight="1" x14ac:dyDescent="0.2">
      <c r="A377" s="18" t="s">
        <v>250</v>
      </c>
      <c r="B377" s="254" t="s">
        <v>1896</v>
      </c>
      <c r="C377" s="67">
        <v>12553</v>
      </c>
      <c r="D377" s="67">
        <v>13082.09</v>
      </c>
      <c r="E377" s="67">
        <v>13945</v>
      </c>
      <c r="F377" s="67">
        <v>14854</v>
      </c>
    </row>
    <row r="378" spans="1:6" ht="12.75" customHeight="1" x14ac:dyDescent="0.2">
      <c r="A378" s="18" t="s">
        <v>251</v>
      </c>
      <c r="B378" s="254" t="s">
        <v>1897</v>
      </c>
      <c r="C378" s="67">
        <v>20851.23</v>
      </c>
      <c r="D378" s="67">
        <v>22835.1</v>
      </c>
      <c r="E378" s="67">
        <f>23400+235</f>
        <v>23635</v>
      </c>
      <c r="F378" s="67">
        <f>23400+235</f>
        <v>23635</v>
      </c>
    </row>
    <row r="379" spans="1:6" ht="12.75" customHeight="1" x14ac:dyDescent="0.2">
      <c r="A379" s="18" t="s">
        <v>252</v>
      </c>
      <c r="B379" s="254" t="s">
        <v>1898</v>
      </c>
      <c r="C379" s="67">
        <v>4000.1</v>
      </c>
      <c r="D379" s="67">
        <v>4000.1</v>
      </c>
      <c r="E379" s="67">
        <v>4000</v>
      </c>
      <c r="F379" s="67">
        <v>4000</v>
      </c>
    </row>
    <row r="380" spans="1:6" ht="12.75" customHeight="1" x14ac:dyDescent="0.2">
      <c r="A380" s="18" t="s">
        <v>163</v>
      </c>
      <c r="B380" s="254" t="s">
        <v>1910</v>
      </c>
      <c r="C380" s="67">
        <v>0</v>
      </c>
      <c r="D380" s="67">
        <v>0</v>
      </c>
      <c r="E380" s="67">
        <v>0</v>
      </c>
      <c r="F380" s="67">
        <v>0</v>
      </c>
    </row>
    <row r="381" spans="1:6" ht="12.75" customHeight="1" x14ac:dyDescent="0.2">
      <c r="A381" s="18" t="s">
        <v>253</v>
      </c>
      <c r="B381" s="254" t="s">
        <v>1899</v>
      </c>
      <c r="C381" s="67">
        <v>2117.09</v>
      </c>
      <c r="D381" s="67">
        <v>1678.2</v>
      </c>
      <c r="E381" s="67">
        <v>2000</v>
      </c>
      <c r="F381" s="67">
        <v>2000</v>
      </c>
    </row>
    <row r="382" spans="1:6" ht="12.75" customHeight="1" x14ac:dyDescent="0.2">
      <c r="A382" s="18" t="s">
        <v>254</v>
      </c>
      <c r="B382" s="254" t="s">
        <v>1900</v>
      </c>
      <c r="C382" s="67">
        <v>1275.81</v>
      </c>
      <c r="D382" s="67">
        <v>1175.74</v>
      </c>
      <c r="E382" s="67">
        <v>1300</v>
      </c>
      <c r="F382" s="67">
        <v>1300</v>
      </c>
    </row>
    <row r="383" spans="1:6" ht="12.75" customHeight="1" x14ac:dyDescent="0.2">
      <c r="A383" s="18" t="s">
        <v>162</v>
      </c>
      <c r="B383" s="254" t="s">
        <v>1901</v>
      </c>
      <c r="C383" s="67">
        <v>0</v>
      </c>
      <c r="D383" s="67">
        <v>0</v>
      </c>
      <c r="E383" s="67">
        <v>0</v>
      </c>
      <c r="F383" s="67">
        <v>0</v>
      </c>
    </row>
    <row r="384" spans="1:6" ht="12.75" customHeight="1" x14ac:dyDescent="0.2">
      <c r="A384" s="18" t="s">
        <v>255</v>
      </c>
      <c r="B384" s="254" t="s">
        <v>1978</v>
      </c>
      <c r="C384" s="67">
        <v>135</v>
      </c>
      <c r="D384" s="67">
        <v>757.13</v>
      </c>
      <c r="E384" s="67">
        <v>1000</v>
      </c>
      <c r="F384" s="67">
        <v>1000</v>
      </c>
    </row>
    <row r="385" spans="1:6" ht="12.75" customHeight="1" x14ac:dyDescent="0.2">
      <c r="A385" s="18" t="s">
        <v>257</v>
      </c>
      <c r="B385" s="254" t="s">
        <v>1903</v>
      </c>
      <c r="C385" s="67">
        <v>0</v>
      </c>
      <c r="D385" s="67">
        <v>0</v>
      </c>
      <c r="E385" s="67">
        <v>0</v>
      </c>
      <c r="F385" s="67">
        <v>0</v>
      </c>
    </row>
    <row r="386" spans="1:6" ht="12.75" customHeight="1" x14ac:dyDescent="0.2">
      <c r="A386" s="18" t="s">
        <v>167</v>
      </c>
      <c r="B386" s="254" t="s">
        <v>1882</v>
      </c>
      <c r="C386" s="67">
        <v>0</v>
      </c>
      <c r="D386" s="67">
        <v>0</v>
      </c>
      <c r="E386" s="67">
        <v>0</v>
      </c>
      <c r="F386" s="67">
        <v>0</v>
      </c>
    </row>
    <row r="387" spans="1:6" ht="12.75" customHeight="1" x14ac:dyDescent="0.2">
      <c r="A387" s="18" t="s">
        <v>258</v>
      </c>
      <c r="B387" s="254" t="s">
        <v>1904</v>
      </c>
      <c r="C387" s="67">
        <v>0</v>
      </c>
      <c r="D387" s="67">
        <v>0</v>
      </c>
      <c r="E387" s="67">
        <v>500</v>
      </c>
      <c r="F387" s="67">
        <v>800</v>
      </c>
    </row>
    <row r="388" spans="1:6" x14ac:dyDescent="0.2">
      <c r="A388" s="18"/>
      <c r="B388" s="6" t="s">
        <v>1099</v>
      </c>
      <c r="C388" s="69">
        <f>SUM(C373:C387)</f>
        <v>156276.98000000001</v>
      </c>
      <c r="D388" s="87">
        <f>SUM(D373:D387)</f>
        <v>161936.89000000001</v>
      </c>
      <c r="E388" s="69">
        <f>SUM(E373:E387)</f>
        <v>168769</v>
      </c>
      <c r="F388" s="69">
        <f>SUM(F373:F387)</f>
        <v>176470</v>
      </c>
    </row>
    <row r="389" spans="1:6" x14ac:dyDescent="0.2">
      <c r="A389" s="18"/>
      <c r="B389" s="6"/>
      <c r="C389" s="72"/>
      <c r="D389" s="54"/>
      <c r="E389" s="72"/>
      <c r="F389" s="72"/>
    </row>
    <row r="390" spans="1:6" x14ac:dyDescent="0.2">
      <c r="A390" s="59" t="s">
        <v>848</v>
      </c>
      <c r="B390" s="4" t="s">
        <v>847</v>
      </c>
    </row>
    <row r="391" spans="1:6" x14ac:dyDescent="0.2">
      <c r="A391" s="18" t="s">
        <v>321</v>
      </c>
      <c r="B391" s="254" t="s">
        <v>1888</v>
      </c>
      <c r="C391" s="66">
        <v>44734.04</v>
      </c>
      <c r="D391" s="67">
        <v>45534.06</v>
      </c>
      <c r="E391" s="66">
        <v>46334</v>
      </c>
      <c r="F391" s="66">
        <v>47534</v>
      </c>
    </row>
    <row r="392" spans="1:6" x14ac:dyDescent="0.2">
      <c r="A392" s="18" t="s">
        <v>322</v>
      </c>
      <c r="B392" s="254" t="s">
        <v>1908</v>
      </c>
      <c r="C392" s="67">
        <v>59323.42</v>
      </c>
      <c r="D392" s="67">
        <v>58967.38</v>
      </c>
      <c r="E392" s="67">
        <f>26202+36562</f>
        <v>62764</v>
      </c>
      <c r="F392" s="67">
        <f>37762+27936</f>
        <v>65698</v>
      </c>
    </row>
    <row r="393" spans="1:6" x14ac:dyDescent="0.2">
      <c r="A393" s="18" t="s">
        <v>143</v>
      </c>
      <c r="B393" s="254" t="s">
        <v>1893</v>
      </c>
      <c r="C393" s="67">
        <v>1919.84</v>
      </c>
      <c r="D393" s="67">
        <v>2999.86</v>
      </c>
      <c r="E393" s="67">
        <v>3000</v>
      </c>
      <c r="F393" s="67">
        <v>3000</v>
      </c>
    </row>
    <row r="394" spans="1:6" x14ac:dyDescent="0.2">
      <c r="A394" s="18" t="s">
        <v>145</v>
      </c>
      <c r="B394" s="254" t="s">
        <v>1895</v>
      </c>
      <c r="C394" s="34">
        <v>8159.5</v>
      </c>
      <c r="D394" s="34">
        <v>8253.44</v>
      </c>
      <c r="E394" s="34">
        <v>8956</v>
      </c>
      <c r="F394" s="34">
        <v>9273</v>
      </c>
    </row>
    <row r="395" spans="1:6" x14ac:dyDescent="0.2">
      <c r="A395" s="18" t="s">
        <v>146</v>
      </c>
      <c r="B395" s="254" t="s">
        <v>1896</v>
      </c>
      <c r="C395" s="67">
        <v>12410.9</v>
      </c>
      <c r="D395" s="67">
        <v>12758.25</v>
      </c>
      <c r="E395" s="67">
        <v>13788</v>
      </c>
      <c r="F395" s="67">
        <v>14459</v>
      </c>
    </row>
    <row r="396" spans="1:6" x14ac:dyDescent="0.2">
      <c r="A396" s="18" t="s">
        <v>956</v>
      </c>
      <c r="B396" s="254" t="s">
        <v>1897</v>
      </c>
      <c r="C396" s="67">
        <v>13920</v>
      </c>
      <c r="D396" s="67">
        <v>19542.240000000002</v>
      </c>
      <c r="E396" s="67">
        <f>23400+235</f>
        <v>23635</v>
      </c>
      <c r="F396" s="67">
        <f>23400+235</f>
        <v>23635</v>
      </c>
    </row>
    <row r="397" spans="1:6" x14ac:dyDescent="0.2">
      <c r="A397" s="18" t="s">
        <v>144</v>
      </c>
      <c r="B397" s="254" t="s">
        <v>1898</v>
      </c>
      <c r="C397" s="34">
        <v>4500.08</v>
      </c>
      <c r="D397" s="34">
        <v>4500.08</v>
      </c>
      <c r="E397" s="34">
        <v>4500</v>
      </c>
      <c r="F397" s="34">
        <v>4500</v>
      </c>
    </row>
    <row r="398" spans="1:6" x14ac:dyDescent="0.2">
      <c r="A398" s="18" t="s">
        <v>164</v>
      </c>
      <c r="B398" s="254" t="s">
        <v>1910</v>
      </c>
      <c r="C398" s="34">
        <v>0</v>
      </c>
      <c r="D398" s="34">
        <v>0</v>
      </c>
      <c r="E398" s="34">
        <v>0</v>
      </c>
      <c r="F398" s="34">
        <v>0</v>
      </c>
    </row>
    <row r="399" spans="1:6" x14ac:dyDescent="0.2">
      <c r="A399" s="18" t="s">
        <v>957</v>
      </c>
      <c r="B399" s="254" t="s">
        <v>1899</v>
      </c>
      <c r="C399" s="67">
        <v>2063.2800000000002</v>
      </c>
      <c r="D399" s="67">
        <v>2075.17</v>
      </c>
      <c r="E399" s="67">
        <v>2300</v>
      </c>
      <c r="F399" s="67">
        <v>2300</v>
      </c>
    </row>
    <row r="400" spans="1:6" x14ac:dyDescent="0.2">
      <c r="A400" s="18" t="s">
        <v>958</v>
      </c>
      <c r="B400" s="254" t="s">
        <v>1900</v>
      </c>
      <c r="C400" s="67">
        <v>1174.19</v>
      </c>
      <c r="D400" s="67">
        <v>1307.5899999999999</v>
      </c>
      <c r="E400" s="67">
        <v>1200</v>
      </c>
      <c r="F400" s="67">
        <v>1300</v>
      </c>
    </row>
    <row r="401" spans="1:6" x14ac:dyDescent="0.2">
      <c r="A401" s="18" t="s">
        <v>959</v>
      </c>
      <c r="B401" s="254" t="s">
        <v>1901</v>
      </c>
      <c r="C401" s="67">
        <v>0</v>
      </c>
      <c r="D401" s="67">
        <v>0</v>
      </c>
      <c r="E401" s="67">
        <v>0</v>
      </c>
      <c r="F401" s="67">
        <v>0</v>
      </c>
    </row>
    <row r="402" spans="1:6" x14ac:dyDescent="0.2">
      <c r="A402" s="18" t="s">
        <v>138</v>
      </c>
      <c r="B402" s="254" t="s">
        <v>1978</v>
      </c>
      <c r="C402" s="34">
        <v>1269.8499999999999</v>
      </c>
      <c r="D402" s="34">
        <v>1635.66</v>
      </c>
      <c r="E402" s="34">
        <v>1500</v>
      </c>
      <c r="F402" s="34">
        <v>1700</v>
      </c>
    </row>
    <row r="403" spans="1:6" x14ac:dyDescent="0.2">
      <c r="A403" s="18" t="s">
        <v>139</v>
      </c>
      <c r="B403" s="254" t="s">
        <v>1903</v>
      </c>
      <c r="C403" s="67">
        <v>0</v>
      </c>
      <c r="D403" s="67">
        <v>0</v>
      </c>
      <c r="E403" s="67">
        <v>0</v>
      </c>
      <c r="F403" s="67">
        <v>500</v>
      </c>
    </row>
    <row r="404" spans="1:6" x14ac:dyDescent="0.2">
      <c r="A404" s="18" t="s">
        <v>140</v>
      </c>
      <c r="B404" s="254" t="s">
        <v>1904</v>
      </c>
      <c r="C404" s="34">
        <v>0</v>
      </c>
      <c r="D404" s="34">
        <v>0</v>
      </c>
      <c r="E404" s="34">
        <v>0</v>
      </c>
      <c r="F404" s="34">
        <v>0</v>
      </c>
    </row>
    <row r="405" spans="1:6" x14ac:dyDescent="0.2">
      <c r="A405" s="18"/>
      <c r="B405" s="6" t="s">
        <v>1099</v>
      </c>
      <c r="C405" s="69">
        <f>SUM(C391:C404)</f>
        <v>149475.09999999998</v>
      </c>
      <c r="D405" s="87">
        <f>SUM(D391:D404)</f>
        <v>157573.73000000001</v>
      </c>
      <c r="E405" s="69">
        <f>SUM(E391:E404)</f>
        <v>167977</v>
      </c>
      <c r="F405" s="69">
        <f>SUM(F391:F404)</f>
        <v>173899</v>
      </c>
    </row>
    <row r="406" spans="1:6" x14ac:dyDescent="0.2">
      <c r="A406" s="18"/>
      <c r="B406" s="4" t="s">
        <v>638</v>
      </c>
      <c r="C406" s="75" t="s">
        <v>1410</v>
      </c>
      <c r="D406" s="230" t="s">
        <v>1410</v>
      </c>
      <c r="E406" s="75" t="s">
        <v>1410</v>
      </c>
      <c r="F406" s="75" t="s">
        <v>1410</v>
      </c>
    </row>
    <row r="407" spans="1:6" x14ac:dyDescent="0.2">
      <c r="A407" s="18"/>
      <c r="B407" s="4" t="s">
        <v>963</v>
      </c>
      <c r="C407" s="75" t="s">
        <v>1410</v>
      </c>
      <c r="D407" s="230" t="s">
        <v>1410</v>
      </c>
      <c r="E407" s="75" t="s">
        <v>1410</v>
      </c>
      <c r="F407" s="75" t="s">
        <v>1410</v>
      </c>
    </row>
    <row r="408" spans="1:6" x14ac:dyDescent="0.2">
      <c r="A408" s="18"/>
      <c r="B408" s="4" t="s">
        <v>130</v>
      </c>
      <c r="C408" s="75" t="s">
        <v>1410</v>
      </c>
      <c r="D408" s="230" t="s">
        <v>1410</v>
      </c>
      <c r="E408" s="75" t="s">
        <v>1410</v>
      </c>
      <c r="F408" s="75" t="s">
        <v>1410</v>
      </c>
    </row>
    <row r="409" spans="1:6" x14ac:dyDescent="0.2">
      <c r="A409" s="18"/>
      <c r="C409" s="77" t="str">
        <f>+$C$4</f>
        <v>2018 ACTUAL</v>
      </c>
      <c r="D409" s="266" t="str">
        <f>+D$4</f>
        <v>2019 ACTUAL</v>
      </c>
      <c r="E409" s="77" t="str">
        <f>+E$4</f>
        <v>2020 BUDGET</v>
      </c>
      <c r="F409" s="77" t="str">
        <f>+F$4</f>
        <v>2021 BUDGET</v>
      </c>
    </row>
    <row r="410" spans="1:6" x14ac:dyDescent="0.2">
      <c r="A410" s="59" t="s">
        <v>141</v>
      </c>
      <c r="B410" s="4" t="s">
        <v>1269</v>
      </c>
    </row>
    <row r="411" spans="1:6" x14ac:dyDescent="0.2">
      <c r="A411" s="18" t="s">
        <v>2328</v>
      </c>
      <c r="B411" s="254" t="s">
        <v>1895</v>
      </c>
      <c r="C411" s="10">
        <v>0</v>
      </c>
      <c r="D411" s="10">
        <v>0</v>
      </c>
      <c r="E411" s="10">
        <v>0</v>
      </c>
      <c r="F411" s="10">
        <v>0</v>
      </c>
    </row>
    <row r="412" spans="1:6" x14ac:dyDescent="0.2">
      <c r="A412" s="18" t="s">
        <v>142</v>
      </c>
      <c r="B412" s="254" t="s">
        <v>1980</v>
      </c>
      <c r="C412" s="66">
        <v>1080.46</v>
      </c>
      <c r="D412" s="67">
        <v>1368.29</v>
      </c>
      <c r="E412" s="66">
        <v>1500</v>
      </c>
      <c r="F412" s="66">
        <v>20000</v>
      </c>
    </row>
    <row r="413" spans="1:6" x14ac:dyDescent="0.2">
      <c r="A413" s="18" t="s">
        <v>852</v>
      </c>
      <c r="B413" s="254" t="s">
        <v>1981</v>
      </c>
      <c r="C413" s="67">
        <v>0</v>
      </c>
      <c r="D413" s="67">
        <v>-375</v>
      </c>
      <c r="E413" s="67">
        <v>1500</v>
      </c>
      <c r="F413" s="67">
        <v>1500</v>
      </c>
    </row>
    <row r="414" spans="1:6" x14ac:dyDescent="0.2">
      <c r="A414" s="18" t="s">
        <v>853</v>
      </c>
      <c r="B414" s="254" t="s">
        <v>1982</v>
      </c>
      <c r="C414" s="82">
        <v>666368.02</v>
      </c>
      <c r="D414" s="82">
        <v>623566.22</v>
      </c>
      <c r="E414" s="82">
        <v>700000</v>
      </c>
      <c r="F414" s="82">
        <v>700000</v>
      </c>
    </row>
    <row r="415" spans="1:6" x14ac:dyDescent="0.2">
      <c r="A415" s="18" t="s">
        <v>854</v>
      </c>
      <c r="B415" s="254" t="s">
        <v>1983</v>
      </c>
      <c r="C415" s="67">
        <v>0</v>
      </c>
      <c r="D415" s="67">
        <v>0</v>
      </c>
      <c r="E415" s="67">
        <v>0</v>
      </c>
      <c r="F415" s="67">
        <v>0</v>
      </c>
    </row>
    <row r="416" spans="1:6" x14ac:dyDescent="0.2">
      <c r="A416" s="18" t="s">
        <v>855</v>
      </c>
      <c r="B416" s="254" t="s">
        <v>1984</v>
      </c>
      <c r="C416" s="67">
        <v>59283.89</v>
      </c>
      <c r="D416" s="67">
        <v>53668.05</v>
      </c>
      <c r="E416" s="67">
        <v>40000</v>
      </c>
      <c r="F416" s="67">
        <v>50000</v>
      </c>
    </row>
    <row r="417" spans="1:6" x14ac:dyDescent="0.2">
      <c r="A417" s="18" t="s">
        <v>168</v>
      </c>
      <c r="B417" s="254" t="s">
        <v>1985</v>
      </c>
      <c r="C417" s="67">
        <v>206866.83</v>
      </c>
      <c r="D417" s="67">
        <v>166464.26999999999</v>
      </c>
      <c r="E417" s="67">
        <v>200000</v>
      </c>
      <c r="F417" s="67">
        <v>200000</v>
      </c>
    </row>
    <row r="418" spans="1:6" x14ac:dyDescent="0.2">
      <c r="A418" s="18" t="s">
        <v>856</v>
      </c>
      <c r="B418" s="254" t="s">
        <v>1986</v>
      </c>
      <c r="C418" s="67">
        <v>6038.38</v>
      </c>
      <c r="D418" s="67">
        <v>6356.81</v>
      </c>
      <c r="E418" s="67">
        <v>7230</v>
      </c>
      <c r="F418" s="67">
        <v>7230</v>
      </c>
    </row>
    <row r="419" spans="1:6" x14ac:dyDescent="0.2">
      <c r="A419" s="18" t="s">
        <v>857</v>
      </c>
      <c r="B419" s="254" t="s">
        <v>1987</v>
      </c>
      <c r="C419" s="67">
        <v>0</v>
      </c>
      <c r="D419" s="67">
        <v>0</v>
      </c>
      <c r="E419" s="67">
        <v>0</v>
      </c>
      <c r="F419" s="67">
        <v>0</v>
      </c>
    </row>
    <row r="420" spans="1:6" x14ac:dyDescent="0.2">
      <c r="A420" s="18"/>
      <c r="B420" s="6" t="s">
        <v>1099</v>
      </c>
      <c r="C420" s="87">
        <f t="shared" ref="C420:F420" si="6">SUM(C411:C419)</f>
        <v>939637.58</v>
      </c>
      <c r="D420" s="87">
        <f t="shared" si="6"/>
        <v>851048.64000000013</v>
      </c>
      <c r="E420" s="87">
        <f t="shared" si="6"/>
        <v>950230</v>
      </c>
      <c r="F420" s="87">
        <f t="shared" si="6"/>
        <v>978730</v>
      </c>
    </row>
    <row r="421" spans="1:6" x14ac:dyDescent="0.2">
      <c r="A421" s="18"/>
      <c r="B421" s="6"/>
      <c r="C421" s="72"/>
      <c r="D421" s="54"/>
      <c r="E421" s="72"/>
      <c r="F421" s="72"/>
    </row>
    <row r="422" spans="1:6" x14ac:dyDescent="0.2">
      <c r="A422" s="59" t="s">
        <v>858</v>
      </c>
      <c r="B422" s="4" t="s">
        <v>1271</v>
      </c>
    </row>
    <row r="423" spans="1:6" x14ac:dyDescent="0.2">
      <c r="A423" s="18" t="s">
        <v>859</v>
      </c>
      <c r="B423" s="254" t="s">
        <v>1909</v>
      </c>
      <c r="C423" s="66">
        <v>70767.06</v>
      </c>
      <c r="D423" s="67">
        <v>76566.880000000005</v>
      </c>
      <c r="E423" s="66">
        <v>78481</v>
      </c>
      <c r="F423" s="66">
        <v>79681</v>
      </c>
    </row>
    <row r="424" spans="1:6" x14ac:dyDescent="0.2">
      <c r="A424" s="18" t="s">
        <v>860</v>
      </c>
      <c r="B424" s="254" t="s">
        <v>1988</v>
      </c>
      <c r="C424" s="67">
        <v>137674.14000000001</v>
      </c>
      <c r="D424" s="67">
        <v>145049.15</v>
      </c>
      <c r="E424" s="67">
        <f>47509+31523+39002+30872</f>
        <v>148906</v>
      </c>
      <c r="F424" s="67">
        <f>48709+32723+40202+32072</f>
        <v>153706</v>
      </c>
    </row>
    <row r="425" spans="1:6" x14ac:dyDescent="0.2">
      <c r="A425" s="18" t="s">
        <v>148</v>
      </c>
      <c r="B425" s="254" t="s">
        <v>1989</v>
      </c>
      <c r="C425" s="67">
        <v>0</v>
      </c>
      <c r="D425" s="67">
        <v>0</v>
      </c>
      <c r="E425" s="67">
        <v>0</v>
      </c>
      <c r="F425" s="67">
        <v>0</v>
      </c>
    </row>
    <row r="426" spans="1:6" x14ac:dyDescent="0.2">
      <c r="A426" s="18" t="s">
        <v>861</v>
      </c>
      <c r="B426" s="254" t="s">
        <v>1893</v>
      </c>
      <c r="C426" s="67">
        <v>1195.29</v>
      </c>
      <c r="D426" s="67">
        <v>1949.9</v>
      </c>
      <c r="E426" s="67">
        <v>2160</v>
      </c>
      <c r="F426" s="67">
        <v>2520</v>
      </c>
    </row>
    <row r="427" spans="1:6" x14ac:dyDescent="0.2">
      <c r="A427" s="18" t="s">
        <v>862</v>
      </c>
      <c r="B427" s="254" t="s">
        <v>1895</v>
      </c>
      <c r="C427" s="67">
        <v>14750.91</v>
      </c>
      <c r="D427" s="67">
        <v>16159.78</v>
      </c>
      <c r="E427" s="67">
        <v>17560</v>
      </c>
      <c r="F427" s="67">
        <v>18047</v>
      </c>
    </row>
    <row r="428" spans="1:6" x14ac:dyDescent="0.2">
      <c r="A428" s="18" t="s">
        <v>864</v>
      </c>
      <c r="B428" s="254" t="s">
        <v>1896</v>
      </c>
      <c r="C428" s="67">
        <v>24548.91</v>
      </c>
      <c r="D428" s="67">
        <v>26527.18</v>
      </c>
      <c r="E428" s="67">
        <v>28234</v>
      </c>
      <c r="F428" s="67">
        <v>29347</v>
      </c>
    </row>
    <row r="429" spans="1:6" x14ac:dyDescent="0.2">
      <c r="A429" s="18" t="s">
        <v>865</v>
      </c>
      <c r="B429" s="254" t="s">
        <v>1897</v>
      </c>
      <c r="C429" s="34">
        <v>33930</v>
      </c>
      <c r="D429" s="34">
        <v>31060</v>
      </c>
      <c r="E429" s="34">
        <f>31200+391</f>
        <v>31591</v>
      </c>
      <c r="F429" s="34">
        <f>31200+391</f>
        <v>31591</v>
      </c>
    </row>
    <row r="430" spans="1:6" x14ac:dyDescent="0.2">
      <c r="A430" s="18" t="s">
        <v>1310</v>
      </c>
      <c r="B430" s="265" t="s">
        <v>1910</v>
      </c>
      <c r="C430" s="34">
        <v>558.02</v>
      </c>
      <c r="D430" s="34">
        <v>728.05</v>
      </c>
      <c r="E430" s="34">
        <v>750</v>
      </c>
      <c r="F430" s="34">
        <v>750</v>
      </c>
    </row>
    <row r="431" spans="1:6" x14ac:dyDescent="0.2">
      <c r="A431" s="18" t="s">
        <v>866</v>
      </c>
      <c r="B431" s="254" t="s">
        <v>1899</v>
      </c>
      <c r="C431" s="67">
        <v>5076.1099999999997</v>
      </c>
      <c r="D431" s="67">
        <v>4646.3900000000003</v>
      </c>
      <c r="E431" s="67">
        <v>5000</v>
      </c>
      <c r="F431" s="67">
        <v>5000</v>
      </c>
    </row>
    <row r="432" spans="1:6" x14ac:dyDescent="0.2">
      <c r="A432" s="18" t="s">
        <v>867</v>
      </c>
      <c r="B432" s="254" t="s">
        <v>1900</v>
      </c>
      <c r="C432" s="67">
        <v>454.27</v>
      </c>
      <c r="D432" s="67">
        <v>1047.32</v>
      </c>
      <c r="E432" s="67">
        <v>1200</v>
      </c>
      <c r="F432" s="67">
        <v>1200</v>
      </c>
    </row>
    <row r="433" spans="1:6" x14ac:dyDescent="0.2">
      <c r="A433" s="18" t="s">
        <v>868</v>
      </c>
      <c r="B433" s="254" t="s">
        <v>1990</v>
      </c>
      <c r="C433" s="67">
        <v>42500</v>
      </c>
      <c r="D433" s="67">
        <v>42500</v>
      </c>
      <c r="E433" s="67">
        <v>43000</v>
      </c>
      <c r="F433" s="67">
        <v>43000</v>
      </c>
    </row>
    <row r="434" spans="1:6" x14ac:dyDescent="0.2">
      <c r="A434" s="18" t="s">
        <v>869</v>
      </c>
      <c r="B434" s="254" t="s">
        <v>1902</v>
      </c>
      <c r="C434" s="34">
        <v>3215.14</v>
      </c>
      <c r="D434" s="34">
        <v>4954.66</v>
      </c>
      <c r="E434" s="34">
        <v>6500</v>
      </c>
      <c r="F434" s="34">
        <v>6000</v>
      </c>
    </row>
    <row r="435" spans="1:6" x14ac:dyDescent="0.2">
      <c r="A435" s="18" t="s">
        <v>870</v>
      </c>
      <c r="B435" s="254" t="s">
        <v>1903</v>
      </c>
      <c r="C435" s="67">
        <v>0</v>
      </c>
      <c r="D435" s="67">
        <v>93</v>
      </c>
      <c r="E435" s="67">
        <v>0</v>
      </c>
      <c r="F435" s="67">
        <v>93</v>
      </c>
    </row>
    <row r="436" spans="1:6" x14ac:dyDescent="0.2">
      <c r="A436" s="18" t="s">
        <v>871</v>
      </c>
      <c r="B436" s="254" t="s">
        <v>1904</v>
      </c>
      <c r="C436" s="85">
        <v>0</v>
      </c>
      <c r="D436" s="85">
        <v>0</v>
      </c>
      <c r="E436" s="85">
        <v>1000</v>
      </c>
      <c r="F436" s="85">
        <v>1000</v>
      </c>
    </row>
    <row r="437" spans="1:6" x14ac:dyDescent="0.2">
      <c r="A437" s="18"/>
      <c r="B437" s="6" t="s">
        <v>1099</v>
      </c>
      <c r="C437" s="73">
        <f>SUM(C423:C436)</f>
        <v>334669.85000000009</v>
      </c>
      <c r="D437" s="63">
        <f>SUM(D423:D436)</f>
        <v>351282.31</v>
      </c>
      <c r="E437" s="73">
        <f>SUM(E423:E436)</f>
        <v>364382</v>
      </c>
      <c r="F437" s="73">
        <f>SUM(F423:F436)</f>
        <v>371935</v>
      </c>
    </row>
    <row r="438" spans="1:6" x14ac:dyDescent="0.2">
      <c r="A438" s="18"/>
      <c r="B438" s="6"/>
      <c r="C438" s="72"/>
      <c r="D438" s="54"/>
      <c r="E438" s="72"/>
      <c r="F438" s="72"/>
    </row>
    <row r="439" spans="1:6" x14ac:dyDescent="0.2">
      <c r="A439" s="59" t="s">
        <v>872</v>
      </c>
      <c r="B439" s="31" t="s">
        <v>1272</v>
      </c>
      <c r="C439" s="72"/>
      <c r="D439" s="54"/>
      <c r="E439" s="72"/>
      <c r="F439" s="72"/>
    </row>
    <row r="440" spans="1:6" x14ac:dyDescent="0.2">
      <c r="A440" s="18" t="s">
        <v>873</v>
      </c>
      <c r="B440" s="254" t="s">
        <v>1909</v>
      </c>
      <c r="C440" s="72">
        <v>46976.28</v>
      </c>
      <c r="D440" s="54">
        <v>48870.12</v>
      </c>
      <c r="E440" s="72">
        <v>49670</v>
      </c>
      <c r="F440" s="72">
        <v>53140</v>
      </c>
    </row>
    <row r="441" spans="1:6" x14ac:dyDescent="0.2">
      <c r="A441" s="18" t="s">
        <v>874</v>
      </c>
      <c r="B441" s="254" t="s">
        <v>1988</v>
      </c>
      <c r="C441" s="54">
        <v>25684.1</v>
      </c>
      <c r="D441" s="54">
        <v>21322.42</v>
      </c>
      <c r="E441" s="54">
        <f>32875</f>
        <v>32875</v>
      </c>
      <c r="F441" s="54">
        <v>34075</v>
      </c>
    </row>
    <row r="442" spans="1:6" x14ac:dyDescent="0.2">
      <c r="A442" s="18" t="s">
        <v>1819</v>
      </c>
      <c r="B442" s="254" t="s">
        <v>1989</v>
      </c>
      <c r="C442" s="54">
        <v>0</v>
      </c>
      <c r="D442" s="54">
        <v>0</v>
      </c>
      <c r="E442" s="54">
        <v>18715</v>
      </c>
      <c r="F442" s="54">
        <v>19555</v>
      </c>
    </row>
    <row r="443" spans="1:6" x14ac:dyDescent="0.2">
      <c r="A443" s="18" t="s">
        <v>875</v>
      </c>
      <c r="B443" s="254" t="s">
        <v>1893</v>
      </c>
      <c r="C443" s="54">
        <v>959.92</v>
      </c>
      <c r="D443" s="54">
        <v>1645.31</v>
      </c>
      <c r="E443" s="54">
        <v>1500</v>
      </c>
      <c r="F443" s="54">
        <v>1500</v>
      </c>
    </row>
    <row r="444" spans="1:6" x14ac:dyDescent="0.2">
      <c r="A444" s="18" t="s">
        <v>876</v>
      </c>
      <c r="B444" s="254" t="s">
        <v>1895</v>
      </c>
      <c r="C444" s="54">
        <v>4895.87</v>
      </c>
      <c r="D444" s="54">
        <v>4761.16</v>
      </c>
      <c r="E444" s="54">
        <v>7861</v>
      </c>
      <c r="F444" s="54">
        <v>8283</v>
      </c>
    </row>
    <row r="445" spans="1:6" x14ac:dyDescent="0.2">
      <c r="A445" s="18" t="s">
        <v>877</v>
      </c>
      <c r="B445" s="254" t="s">
        <v>1896</v>
      </c>
      <c r="C445" s="54">
        <v>8621.3799999999992</v>
      </c>
      <c r="D445" s="54">
        <v>8524.17</v>
      </c>
      <c r="E445" s="54">
        <v>12639</v>
      </c>
      <c r="F445" s="54">
        <v>13469</v>
      </c>
    </row>
    <row r="446" spans="1:6" x14ac:dyDescent="0.2">
      <c r="A446" s="18" t="s">
        <v>878</v>
      </c>
      <c r="B446" s="254" t="s">
        <v>1897</v>
      </c>
      <c r="C446" s="84">
        <v>6960</v>
      </c>
      <c r="D446" s="54">
        <v>7765</v>
      </c>
      <c r="E446" s="84">
        <f>15600+156</f>
        <v>15756</v>
      </c>
      <c r="F446" s="84">
        <f>15600+156</f>
        <v>15756</v>
      </c>
    </row>
    <row r="447" spans="1:6" x14ac:dyDescent="0.2">
      <c r="A447" s="18" t="s">
        <v>879</v>
      </c>
      <c r="B447" s="254" t="s">
        <v>1899</v>
      </c>
      <c r="C447" s="54">
        <v>2111.7199999999998</v>
      </c>
      <c r="D447" s="84">
        <v>2365.4</v>
      </c>
      <c r="E447" s="54">
        <v>2200</v>
      </c>
      <c r="F447" s="54">
        <v>2200</v>
      </c>
    </row>
    <row r="448" spans="1:6" x14ac:dyDescent="0.2">
      <c r="A448" s="18" t="s">
        <v>1405</v>
      </c>
      <c r="B448" s="254" t="s">
        <v>1991</v>
      </c>
      <c r="C448" s="84">
        <v>316.77999999999997</v>
      </c>
      <c r="D448" s="54">
        <v>3419.82</v>
      </c>
      <c r="E448" s="84">
        <v>5500</v>
      </c>
      <c r="F448" s="84">
        <v>5500</v>
      </c>
    </row>
    <row r="449" spans="1:6" x14ac:dyDescent="0.2">
      <c r="A449" s="18" t="s">
        <v>880</v>
      </c>
      <c r="B449" s="254" t="s">
        <v>1900</v>
      </c>
      <c r="C449" s="54">
        <v>888.6</v>
      </c>
      <c r="D449" s="54">
        <v>1205.02</v>
      </c>
      <c r="E449" s="54">
        <v>1200</v>
      </c>
      <c r="F449" s="54">
        <v>1200</v>
      </c>
    </row>
    <row r="450" spans="1:6" x14ac:dyDescent="0.2">
      <c r="A450" s="61" t="s">
        <v>2334</v>
      </c>
      <c r="B450" s="254" t="s">
        <v>1901</v>
      </c>
      <c r="C450" s="54">
        <v>0</v>
      </c>
      <c r="D450" s="54">
        <v>0</v>
      </c>
      <c r="E450" s="54">
        <v>0</v>
      </c>
      <c r="F450" s="54">
        <v>500</v>
      </c>
    </row>
    <row r="451" spans="1:6" x14ac:dyDescent="0.2">
      <c r="A451" s="18" t="s">
        <v>881</v>
      </c>
      <c r="B451" s="254" t="s">
        <v>1902</v>
      </c>
      <c r="C451" s="54">
        <v>2176.29</v>
      </c>
      <c r="D451" s="54">
        <v>965.19</v>
      </c>
      <c r="E451" s="54">
        <v>3600</v>
      </c>
      <c r="F451" s="54">
        <v>3600</v>
      </c>
    </row>
    <row r="452" spans="1:6" x14ac:dyDescent="0.2">
      <c r="A452" s="18" t="s">
        <v>882</v>
      </c>
      <c r="B452" s="254" t="s">
        <v>1904</v>
      </c>
      <c r="C452" s="63">
        <v>800.91</v>
      </c>
      <c r="D452" s="63">
        <v>297.49</v>
      </c>
      <c r="E452" s="63">
        <v>7000</v>
      </c>
      <c r="F452" s="63">
        <v>4000</v>
      </c>
    </row>
    <row r="453" spans="1:6" x14ac:dyDescent="0.2">
      <c r="A453" s="18"/>
      <c r="B453" s="6" t="s">
        <v>1099</v>
      </c>
      <c r="C453" s="69">
        <f>SUM(C440:C452)</f>
        <v>100391.85</v>
      </c>
      <c r="D453" s="87">
        <f>SUM(D440:D452)</f>
        <v>101141.10000000002</v>
      </c>
      <c r="E453" s="69">
        <f>SUM(E440:E452)</f>
        <v>158516</v>
      </c>
      <c r="F453" s="69">
        <f>SUM(F440:F452)</f>
        <v>162778</v>
      </c>
    </row>
    <row r="454" spans="1:6" x14ac:dyDescent="0.2">
      <c r="A454" s="18"/>
      <c r="B454" s="6"/>
      <c r="C454" s="72"/>
      <c r="D454" s="54"/>
      <c r="E454" s="72"/>
      <c r="F454" s="72"/>
    </row>
    <row r="455" spans="1:6" x14ac:dyDescent="0.2">
      <c r="A455" s="59" t="s">
        <v>883</v>
      </c>
      <c r="B455" s="4" t="s">
        <v>1273</v>
      </c>
    </row>
    <row r="456" spans="1:6" x14ac:dyDescent="0.2">
      <c r="A456" s="18" t="s">
        <v>884</v>
      </c>
      <c r="B456" s="254" t="s">
        <v>1888</v>
      </c>
      <c r="C456" s="66">
        <v>24217.96</v>
      </c>
      <c r="D456" s="67">
        <v>49235.94</v>
      </c>
      <c r="E456" s="66">
        <v>50036</v>
      </c>
      <c r="F456" s="66">
        <v>51236</v>
      </c>
    </row>
    <row r="457" spans="1:6" x14ac:dyDescent="0.2">
      <c r="A457" s="18" t="s">
        <v>885</v>
      </c>
      <c r="B457" s="254" t="s">
        <v>1905</v>
      </c>
      <c r="C457" s="34">
        <v>59149.82</v>
      </c>
      <c r="D457" s="34">
        <v>59963.07</v>
      </c>
      <c r="E457" s="80">
        <f>32875+29012</f>
        <v>61887</v>
      </c>
      <c r="F457" s="80">
        <f>34776+30816</f>
        <v>65592</v>
      </c>
    </row>
    <row r="458" spans="1:6" x14ac:dyDescent="0.2">
      <c r="A458" s="18" t="s">
        <v>886</v>
      </c>
      <c r="B458" s="254" t="s">
        <v>1893</v>
      </c>
      <c r="C458" s="67">
        <v>959.92</v>
      </c>
      <c r="D458" s="67">
        <v>539.96</v>
      </c>
      <c r="E458" s="67">
        <v>240</v>
      </c>
      <c r="F458" s="67">
        <v>300</v>
      </c>
    </row>
    <row r="459" spans="1:6" x14ac:dyDescent="0.2">
      <c r="A459" s="18" t="s">
        <v>889</v>
      </c>
      <c r="B459" s="254" t="s">
        <v>1895</v>
      </c>
      <c r="C459" s="34">
        <v>5779.22</v>
      </c>
      <c r="D459" s="34">
        <v>8152.77</v>
      </c>
      <c r="E459" s="34">
        <v>8580</v>
      </c>
      <c r="F459" s="34">
        <v>8960</v>
      </c>
    </row>
    <row r="460" spans="1:6" x14ac:dyDescent="0.2">
      <c r="A460" s="18" t="s">
        <v>888</v>
      </c>
      <c r="B460" s="254" t="s">
        <v>1896</v>
      </c>
      <c r="C460" s="34">
        <v>9874.25</v>
      </c>
      <c r="D460" s="34">
        <v>12874.38</v>
      </c>
      <c r="E460" s="34">
        <v>13796</v>
      </c>
      <c r="F460" s="34">
        <v>14571</v>
      </c>
    </row>
    <row r="461" spans="1:6" x14ac:dyDescent="0.2">
      <c r="A461" s="18" t="s">
        <v>887</v>
      </c>
      <c r="B461" s="254" t="s">
        <v>1897</v>
      </c>
      <c r="C461" s="67">
        <v>19430</v>
      </c>
      <c r="D461" s="67">
        <v>14082.76</v>
      </c>
      <c r="E461" s="67">
        <f>15600+235</f>
        <v>15835</v>
      </c>
      <c r="F461" s="67">
        <f>7800+235</f>
        <v>8035</v>
      </c>
    </row>
    <row r="462" spans="1:6" x14ac:dyDescent="0.2">
      <c r="A462" s="18" t="s">
        <v>1693</v>
      </c>
      <c r="B462" s="265" t="s">
        <v>1910</v>
      </c>
      <c r="C462" s="67">
        <v>462.8</v>
      </c>
      <c r="D462" s="67">
        <v>431.34</v>
      </c>
      <c r="E462" s="67">
        <v>500</v>
      </c>
      <c r="F462" s="67">
        <v>500</v>
      </c>
    </row>
    <row r="463" spans="1:6" x14ac:dyDescent="0.2">
      <c r="A463" s="18" t="s">
        <v>890</v>
      </c>
      <c r="B463" s="254" t="s">
        <v>1899</v>
      </c>
      <c r="C463" s="67">
        <v>917.46</v>
      </c>
      <c r="D463" s="67">
        <v>2417.64</v>
      </c>
      <c r="E463" s="67">
        <f>2000</f>
        <v>2000</v>
      </c>
      <c r="F463" s="67">
        <f>2000</f>
        <v>2000</v>
      </c>
    </row>
    <row r="464" spans="1:6" x14ac:dyDescent="0.2">
      <c r="A464" s="18" t="s">
        <v>891</v>
      </c>
      <c r="B464" s="254" t="s">
        <v>1900</v>
      </c>
      <c r="C464" s="67">
        <v>1736.58</v>
      </c>
      <c r="D464" s="67">
        <v>1644.07</v>
      </c>
      <c r="E464" s="67">
        <v>2000</v>
      </c>
      <c r="F464" s="67">
        <v>2000</v>
      </c>
    </row>
    <row r="465" spans="1:6" x14ac:dyDescent="0.2">
      <c r="A465" s="18" t="s">
        <v>892</v>
      </c>
      <c r="B465" s="254" t="s">
        <v>1902</v>
      </c>
      <c r="C465" s="67">
        <v>0</v>
      </c>
      <c r="D465" s="67">
        <v>3095.16</v>
      </c>
      <c r="E465" s="67">
        <v>4530</v>
      </c>
      <c r="F465" s="67">
        <v>4500</v>
      </c>
    </row>
    <row r="466" spans="1:6" x14ac:dyDescent="0.2">
      <c r="A466" s="18" t="s">
        <v>893</v>
      </c>
      <c r="B466" s="254" t="s">
        <v>1903</v>
      </c>
      <c r="C466" s="67">
        <v>352</v>
      </c>
      <c r="D466" s="67">
        <v>2127</v>
      </c>
      <c r="E466" s="67">
        <v>400</v>
      </c>
      <c r="F466" s="67">
        <v>400</v>
      </c>
    </row>
    <row r="467" spans="1:6" x14ac:dyDescent="0.2">
      <c r="A467" s="18" t="s">
        <v>894</v>
      </c>
      <c r="B467" s="254" t="s">
        <v>1904</v>
      </c>
      <c r="C467" s="67">
        <v>0</v>
      </c>
      <c r="D467" s="67">
        <v>0</v>
      </c>
      <c r="E467" s="67">
        <v>1500</v>
      </c>
      <c r="F467" s="67">
        <v>1000</v>
      </c>
    </row>
    <row r="468" spans="1:6" x14ac:dyDescent="0.2">
      <c r="A468" s="18"/>
      <c r="B468" s="6" t="s">
        <v>1099</v>
      </c>
      <c r="C468" s="69">
        <f>SUM(C456:C467)</f>
        <v>122880.01000000001</v>
      </c>
      <c r="D468" s="87">
        <f>SUM(D456:D467)</f>
        <v>154564.09000000005</v>
      </c>
      <c r="E468" s="69">
        <f>SUM(E456:E467)</f>
        <v>161304</v>
      </c>
      <c r="F468" s="69">
        <f>SUM(F456:F467)</f>
        <v>159094</v>
      </c>
    </row>
    <row r="469" spans="1:6" x14ac:dyDescent="0.2">
      <c r="A469" s="18"/>
      <c r="B469" s="4" t="s">
        <v>638</v>
      </c>
      <c r="C469" s="75" t="s">
        <v>1410</v>
      </c>
      <c r="D469" s="230" t="s">
        <v>1410</v>
      </c>
      <c r="E469" s="75" t="s">
        <v>1410</v>
      </c>
      <c r="F469" s="75" t="s">
        <v>1410</v>
      </c>
    </row>
    <row r="470" spans="1:6" x14ac:dyDescent="0.2">
      <c r="A470" s="18"/>
      <c r="B470" s="4" t="s">
        <v>963</v>
      </c>
      <c r="C470" s="75" t="s">
        <v>1410</v>
      </c>
      <c r="D470" s="230" t="s">
        <v>1410</v>
      </c>
      <c r="E470" s="75" t="s">
        <v>1410</v>
      </c>
      <c r="F470" s="75" t="s">
        <v>1410</v>
      </c>
    </row>
    <row r="471" spans="1:6" x14ac:dyDescent="0.2">
      <c r="A471" s="18"/>
      <c r="B471" s="4" t="s">
        <v>130</v>
      </c>
      <c r="C471" s="75" t="s">
        <v>1410</v>
      </c>
      <c r="D471" s="230" t="s">
        <v>1410</v>
      </c>
      <c r="E471" s="75" t="s">
        <v>1410</v>
      </c>
      <c r="F471" s="75" t="s">
        <v>1410</v>
      </c>
    </row>
    <row r="472" spans="1:6" x14ac:dyDescent="0.2">
      <c r="A472" s="18"/>
      <c r="C472" s="77" t="str">
        <f>+$C$4</f>
        <v>2018 ACTUAL</v>
      </c>
      <c r="D472" s="266" t="str">
        <f>+D$4</f>
        <v>2019 ACTUAL</v>
      </c>
      <c r="E472" s="77" t="str">
        <f>+E$4</f>
        <v>2020 BUDGET</v>
      </c>
      <c r="F472" s="77" t="str">
        <f>+F$4</f>
        <v>2021 BUDGET</v>
      </c>
    </row>
    <row r="473" spans="1:6" x14ac:dyDescent="0.2">
      <c r="A473" s="59" t="s">
        <v>895</v>
      </c>
      <c r="B473" s="4" t="s">
        <v>1274</v>
      </c>
    </row>
    <row r="474" spans="1:6" x14ac:dyDescent="0.2">
      <c r="A474" s="18" t="s">
        <v>896</v>
      </c>
      <c r="B474" s="254" t="s">
        <v>1888</v>
      </c>
      <c r="C474" s="66">
        <v>48435.92</v>
      </c>
      <c r="D474" s="67">
        <v>49235.94</v>
      </c>
      <c r="E474" s="66">
        <v>50036</v>
      </c>
      <c r="F474" s="66">
        <v>51236</v>
      </c>
    </row>
    <row r="475" spans="1:6" x14ac:dyDescent="0.2">
      <c r="A475" s="18" t="s">
        <v>897</v>
      </c>
      <c r="B475" s="254" t="s">
        <v>1905</v>
      </c>
      <c r="C475" s="34">
        <v>328208.28999999998</v>
      </c>
      <c r="D475" s="34">
        <v>334616.61</v>
      </c>
      <c r="E475" s="80">
        <f>396263-E474</f>
        <v>346227</v>
      </c>
      <c r="F475" s="80">
        <f>414687-F474</f>
        <v>363451</v>
      </c>
    </row>
    <row r="476" spans="1:6" x14ac:dyDescent="0.2">
      <c r="A476" s="18" t="s">
        <v>898</v>
      </c>
      <c r="B476" s="254" t="s">
        <v>1989</v>
      </c>
      <c r="C476" s="67">
        <v>0</v>
      </c>
      <c r="D476" s="67">
        <v>0</v>
      </c>
      <c r="E476" s="67">
        <v>0</v>
      </c>
      <c r="F476" s="67">
        <v>0</v>
      </c>
    </row>
    <row r="477" spans="1:6" x14ac:dyDescent="0.2">
      <c r="A477" s="18" t="s">
        <v>899</v>
      </c>
      <c r="B477" s="254" t="s">
        <v>1893</v>
      </c>
      <c r="C477" s="67">
        <v>3351</v>
      </c>
      <c r="D477" s="67">
        <v>5334.96</v>
      </c>
      <c r="E477" s="67">
        <v>5520</v>
      </c>
      <c r="F477" s="67">
        <v>6180</v>
      </c>
    </row>
    <row r="478" spans="1:6" x14ac:dyDescent="0.2">
      <c r="A478" s="18" t="s">
        <v>900</v>
      </c>
      <c r="B478" s="254" t="s">
        <v>1895</v>
      </c>
      <c r="C478" s="34">
        <v>27257.439999999999</v>
      </c>
      <c r="D478" s="34">
        <v>28250.02</v>
      </c>
      <c r="E478" s="34">
        <v>30736</v>
      </c>
      <c r="F478" s="34">
        <v>32196</v>
      </c>
    </row>
    <row r="479" spans="1:6" x14ac:dyDescent="0.2">
      <c r="A479" s="18" t="s">
        <v>901</v>
      </c>
      <c r="B479" s="254" t="s">
        <v>1896</v>
      </c>
      <c r="C479" s="34">
        <v>44497.74</v>
      </c>
      <c r="D479" s="34">
        <v>45478.04</v>
      </c>
      <c r="E479" s="34">
        <v>49419</v>
      </c>
      <c r="F479" s="34">
        <v>52356</v>
      </c>
    </row>
    <row r="480" spans="1:6" x14ac:dyDescent="0.2">
      <c r="A480" s="18" t="s">
        <v>902</v>
      </c>
      <c r="B480" s="254" t="s">
        <v>1897</v>
      </c>
      <c r="C480" s="34">
        <v>82070</v>
      </c>
      <c r="D480" s="34">
        <v>79890</v>
      </c>
      <c r="E480" s="34">
        <f>93600+1017</f>
        <v>94617</v>
      </c>
      <c r="F480" s="34">
        <f>85800+1017</f>
        <v>86817</v>
      </c>
    </row>
    <row r="481" spans="1:25" x14ac:dyDescent="0.2">
      <c r="A481" s="18" t="s">
        <v>1063</v>
      </c>
      <c r="B481" s="265" t="s">
        <v>1910</v>
      </c>
      <c r="C481" s="34">
        <v>1648.34</v>
      </c>
      <c r="D481" s="34">
        <v>2089.4299999999998</v>
      </c>
      <c r="E481" s="34">
        <v>2250</v>
      </c>
      <c r="F481" s="34">
        <v>2250</v>
      </c>
    </row>
    <row r="482" spans="1:25" x14ac:dyDescent="0.2">
      <c r="A482" s="18" t="s">
        <v>201</v>
      </c>
      <c r="B482" s="254" t="s">
        <v>1899</v>
      </c>
      <c r="C482" s="67">
        <v>15709.29</v>
      </c>
      <c r="D482" s="67">
        <v>12352.3</v>
      </c>
      <c r="E482" s="67">
        <v>14000</v>
      </c>
      <c r="F482" s="67">
        <v>14000</v>
      </c>
    </row>
    <row r="483" spans="1:25" x14ac:dyDescent="0.2">
      <c r="A483" s="18" t="s">
        <v>202</v>
      </c>
      <c r="B483" s="254" t="s">
        <v>1993</v>
      </c>
      <c r="C483" s="34">
        <v>14200.01</v>
      </c>
      <c r="D483" s="34">
        <v>8218.15</v>
      </c>
      <c r="E483" s="34">
        <v>14500</v>
      </c>
      <c r="F483" s="34">
        <v>18400</v>
      </c>
    </row>
    <row r="484" spans="1:25" x14ac:dyDescent="0.2">
      <c r="A484" s="18" t="s">
        <v>203</v>
      </c>
      <c r="B484" s="254" t="s">
        <v>1900</v>
      </c>
      <c r="C484" s="34">
        <v>26990.240000000002</v>
      </c>
      <c r="D484" s="34">
        <v>27301.23</v>
      </c>
      <c r="E484" s="34">
        <v>32000</v>
      </c>
      <c r="F484" s="34">
        <v>40000</v>
      </c>
    </row>
    <row r="485" spans="1:25" x14ac:dyDescent="0.2">
      <c r="A485" s="18" t="s">
        <v>204</v>
      </c>
      <c r="B485" s="254" t="s">
        <v>1902</v>
      </c>
      <c r="C485" s="34">
        <v>2966.49</v>
      </c>
      <c r="D485" s="34">
        <v>2046.83</v>
      </c>
      <c r="E485" s="34">
        <v>3700</v>
      </c>
      <c r="F485" s="34">
        <v>3500</v>
      </c>
    </row>
    <row r="486" spans="1:25" x14ac:dyDescent="0.2">
      <c r="A486" s="18" t="s">
        <v>205</v>
      </c>
      <c r="B486" s="254" t="s">
        <v>1992</v>
      </c>
      <c r="C486" s="34">
        <v>346662.43</v>
      </c>
      <c r="D486" s="34">
        <v>332597.46000000002</v>
      </c>
      <c r="E486" s="34">
        <v>347000</v>
      </c>
      <c r="F486" s="34">
        <v>365000</v>
      </c>
    </row>
    <row r="487" spans="1:25" x14ac:dyDescent="0.2">
      <c r="A487" s="18" t="s">
        <v>206</v>
      </c>
      <c r="B487" s="254" t="s">
        <v>1903</v>
      </c>
      <c r="C487" s="34">
        <v>0</v>
      </c>
      <c r="D487" s="34">
        <v>0</v>
      </c>
      <c r="E487" s="34">
        <v>0</v>
      </c>
      <c r="F487" s="34">
        <v>3550</v>
      </c>
      <c r="Y487" t="s">
        <v>1410</v>
      </c>
    </row>
    <row r="488" spans="1:25" x14ac:dyDescent="0.2">
      <c r="A488" s="18" t="s">
        <v>207</v>
      </c>
      <c r="B488" s="254" t="s">
        <v>1904</v>
      </c>
      <c r="C488" s="34">
        <v>1876</v>
      </c>
      <c r="D488" s="34">
        <v>18771.23</v>
      </c>
      <c r="E488" s="34">
        <v>3000</v>
      </c>
      <c r="F488" s="34">
        <v>1500</v>
      </c>
    </row>
    <row r="489" spans="1:25" x14ac:dyDescent="0.2">
      <c r="A489" s="18"/>
      <c r="B489" s="6" t="s">
        <v>1099</v>
      </c>
      <c r="C489" s="69">
        <f>SUM(C474:C488)</f>
        <v>943873.19</v>
      </c>
      <c r="D489" s="87">
        <f>SUM(D474:D488)</f>
        <v>946182.20000000019</v>
      </c>
      <c r="E489" s="69">
        <f>SUM(E474:E488)</f>
        <v>993005</v>
      </c>
      <c r="F489" s="69">
        <f>SUM(F474:F488)</f>
        <v>1040436</v>
      </c>
    </row>
    <row r="490" spans="1:25" x14ac:dyDescent="0.2">
      <c r="A490" s="18"/>
      <c r="B490" s="6"/>
      <c r="C490" s="72"/>
      <c r="D490" s="54"/>
      <c r="E490" s="72"/>
      <c r="F490" s="72"/>
    </row>
    <row r="491" spans="1:25" x14ac:dyDescent="0.2">
      <c r="A491" s="59" t="s">
        <v>208</v>
      </c>
      <c r="B491" s="4" t="s">
        <v>1275</v>
      </c>
    </row>
    <row r="492" spans="1:25" x14ac:dyDescent="0.2">
      <c r="A492" s="18" t="s">
        <v>209</v>
      </c>
      <c r="B492" s="254" t="s">
        <v>1909</v>
      </c>
      <c r="C492" s="66">
        <v>38281.410000000003</v>
      </c>
      <c r="D492" s="67">
        <v>39933.14</v>
      </c>
      <c r="E492" s="66">
        <v>41630</v>
      </c>
      <c r="F492" s="66">
        <v>42830</v>
      </c>
    </row>
    <row r="493" spans="1:25" x14ac:dyDescent="0.2">
      <c r="A493" s="18" t="s">
        <v>210</v>
      </c>
      <c r="B493" s="254" t="s">
        <v>1988</v>
      </c>
      <c r="C493" s="67">
        <v>60271.11</v>
      </c>
      <c r="D493" s="67">
        <v>71600.100000000006</v>
      </c>
      <c r="E493" s="67">
        <f>38168+35787</f>
        <v>73955</v>
      </c>
      <c r="F493" s="67">
        <f>36987+30816</f>
        <v>67803</v>
      </c>
    </row>
    <row r="494" spans="1:25" x14ac:dyDescent="0.2">
      <c r="A494" s="18" t="s">
        <v>1643</v>
      </c>
      <c r="B494" s="254" t="s">
        <v>1989</v>
      </c>
      <c r="C494" s="67">
        <v>0</v>
      </c>
      <c r="D494" s="67">
        <v>0</v>
      </c>
      <c r="E494" s="67">
        <v>0</v>
      </c>
      <c r="F494" s="67">
        <v>0</v>
      </c>
    </row>
    <row r="495" spans="1:25" x14ac:dyDescent="0.2">
      <c r="A495" s="18" t="s">
        <v>211</v>
      </c>
      <c r="B495" s="254" t="s">
        <v>1893</v>
      </c>
      <c r="C495" s="67">
        <v>1033.76</v>
      </c>
      <c r="D495" s="67">
        <v>1363.92</v>
      </c>
      <c r="E495" s="67">
        <v>1620</v>
      </c>
      <c r="F495" s="67">
        <v>780</v>
      </c>
    </row>
    <row r="496" spans="1:25" x14ac:dyDescent="0.2">
      <c r="A496" s="18" t="s">
        <v>212</v>
      </c>
      <c r="B496" s="254" t="s">
        <v>1895</v>
      </c>
      <c r="C496" s="67">
        <v>6984.95</v>
      </c>
      <c r="D496" s="67">
        <v>8359.3700000000008</v>
      </c>
      <c r="E496" s="67">
        <v>8966</v>
      </c>
      <c r="F496" s="67">
        <v>8523</v>
      </c>
    </row>
    <row r="497" spans="1:8" x14ac:dyDescent="0.2">
      <c r="A497" s="18" t="s">
        <v>213</v>
      </c>
      <c r="B497" s="254" t="s">
        <v>1896</v>
      </c>
      <c r="C497" s="67">
        <v>11651.95</v>
      </c>
      <c r="D497" s="67">
        <v>13395.94</v>
      </c>
      <c r="E497" s="67">
        <v>14416</v>
      </c>
      <c r="F497" s="67">
        <v>13860</v>
      </c>
    </row>
    <row r="498" spans="1:8" x14ac:dyDescent="0.2">
      <c r="A498" s="18" t="s">
        <v>198</v>
      </c>
      <c r="B498" s="254" t="s">
        <v>1897</v>
      </c>
      <c r="C498" s="34">
        <v>17980</v>
      </c>
      <c r="D498" s="34">
        <v>17445</v>
      </c>
      <c r="E498" s="34">
        <f>23400+235</f>
        <v>23635</v>
      </c>
      <c r="F498" s="34">
        <f>15600+235</f>
        <v>15835</v>
      </c>
    </row>
    <row r="499" spans="1:8" x14ac:dyDescent="0.2">
      <c r="A499" s="18" t="s">
        <v>199</v>
      </c>
      <c r="B499" s="254" t="s">
        <v>1899</v>
      </c>
      <c r="C499" s="67">
        <v>2611.9899999999998</v>
      </c>
      <c r="D499" s="67">
        <v>2698.11</v>
      </c>
      <c r="E499" s="67">
        <v>2700</v>
      </c>
      <c r="F499" s="67">
        <v>2700</v>
      </c>
    </row>
    <row r="500" spans="1:8" x14ac:dyDescent="0.2">
      <c r="A500" s="18" t="s">
        <v>2306</v>
      </c>
      <c r="B500" s="254" t="s">
        <v>2307</v>
      </c>
      <c r="C500" s="67">
        <v>0</v>
      </c>
      <c r="D500" s="67">
        <v>0</v>
      </c>
      <c r="E500" s="67">
        <v>0</v>
      </c>
      <c r="F500" s="67">
        <v>0</v>
      </c>
    </row>
    <row r="501" spans="1:8" x14ac:dyDescent="0.2">
      <c r="A501" s="18" t="s">
        <v>200</v>
      </c>
      <c r="B501" s="254" t="s">
        <v>1900</v>
      </c>
      <c r="C501" s="67">
        <v>989.51</v>
      </c>
      <c r="D501" s="67">
        <v>1154.26</v>
      </c>
      <c r="E501" s="67">
        <v>1100</v>
      </c>
      <c r="F501" s="67">
        <v>1100</v>
      </c>
    </row>
    <row r="502" spans="1:8" x14ac:dyDescent="0.2">
      <c r="A502" s="18" t="s">
        <v>1033</v>
      </c>
      <c r="B502" s="254" t="s">
        <v>1902</v>
      </c>
      <c r="C502" s="34">
        <v>1729.73</v>
      </c>
      <c r="D502" s="34">
        <v>932.77</v>
      </c>
      <c r="E502" s="34">
        <v>3100</v>
      </c>
      <c r="F502" s="34">
        <v>5000</v>
      </c>
    </row>
    <row r="503" spans="1:8" x14ac:dyDescent="0.2">
      <c r="A503" s="18" t="s">
        <v>1034</v>
      </c>
      <c r="B503" s="254" t="s">
        <v>1903</v>
      </c>
      <c r="C503" s="34">
        <v>164</v>
      </c>
      <c r="D503" s="34">
        <v>0</v>
      </c>
      <c r="E503" s="34">
        <v>164</v>
      </c>
      <c r="F503" s="34">
        <v>0</v>
      </c>
    </row>
    <row r="504" spans="1:8" x14ac:dyDescent="0.2">
      <c r="A504" s="18" t="s">
        <v>1035</v>
      </c>
      <c r="B504" s="254" t="s">
        <v>1904</v>
      </c>
      <c r="C504" s="34">
        <v>0</v>
      </c>
      <c r="D504" s="34">
        <v>0</v>
      </c>
      <c r="E504" s="34">
        <v>500</v>
      </c>
      <c r="F504" s="34">
        <v>350</v>
      </c>
    </row>
    <row r="505" spans="1:8" x14ac:dyDescent="0.2">
      <c r="A505" s="18"/>
      <c r="B505" s="6" t="s">
        <v>1099</v>
      </c>
      <c r="C505" s="69">
        <f>SUM(C492:C504)</f>
        <v>141698.41</v>
      </c>
      <c r="D505" s="87">
        <f>SUM(D492:D504)</f>
        <v>156882.60999999999</v>
      </c>
      <c r="E505" s="69">
        <f>SUM(E492:E504)</f>
        <v>171786</v>
      </c>
      <c r="F505" s="69">
        <f>SUM(F492:F504)</f>
        <v>158781</v>
      </c>
    </row>
    <row r="506" spans="1:8" x14ac:dyDescent="0.2">
      <c r="A506" s="18"/>
      <c r="B506" s="6"/>
      <c r="C506" s="72"/>
      <c r="D506" s="54"/>
      <c r="E506" s="72"/>
      <c r="F506" s="72"/>
    </row>
    <row r="507" spans="1:8" x14ac:dyDescent="0.2">
      <c r="A507" s="59" t="s">
        <v>1036</v>
      </c>
      <c r="B507" s="4" t="s">
        <v>2336</v>
      </c>
    </row>
    <row r="508" spans="1:8" x14ac:dyDescent="0.2">
      <c r="A508" s="18" t="s">
        <v>1037</v>
      </c>
      <c r="B508" s="254" t="s">
        <v>1909</v>
      </c>
      <c r="C508" s="66">
        <v>69800.12</v>
      </c>
      <c r="D508" s="67">
        <v>70600.14</v>
      </c>
      <c r="E508" s="66">
        <v>73064</v>
      </c>
      <c r="F508" s="66">
        <v>74264</v>
      </c>
      <c r="G508" s="8"/>
    </row>
    <row r="509" spans="1:8" x14ac:dyDescent="0.2">
      <c r="A509" s="18" t="s">
        <v>1038</v>
      </c>
      <c r="B509" s="254" t="s">
        <v>1988</v>
      </c>
      <c r="C509" s="67">
        <v>38256.92</v>
      </c>
      <c r="D509" s="67">
        <v>53842.33</v>
      </c>
      <c r="E509" s="67">
        <f>49670+40733</f>
        <v>90403</v>
      </c>
      <c r="F509" s="67">
        <f>51991+39368</f>
        <v>91359</v>
      </c>
      <c r="G509" s="8"/>
      <c r="H509" s="10"/>
    </row>
    <row r="510" spans="1:8" x14ac:dyDescent="0.2">
      <c r="A510" s="18" t="s">
        <v>1039</v>
      </c>
      <c r="B510" s="254" t="s">
        <v>1989</v>
      </c>
      <c r="C510" s="67">
        <v>0</v>
      </c>
      <c r="D510" s="67">
        <v>0</v>
      </c>
      <c r="E510" s="67">
        <v>0</v>
      </c>
      <c r="F510" s="67">
        <v>0</v>
      </c>
      <c r="G510" s="8"/>
    </row>
    <row r="511" spans="1:8" x14ac:dyDescent="0.2">
      <c r="A511" s="18" t="s">
        <v>1041</v>
      </c>
      <c r="B511" s="254" t="s">
        <v>1893</v>
      </c>
      <c r="C511" s="67">
        <v>715.33</v>
      </c>
      <c r="D511" s="67">
        <v>1393.89</v>
      </c>
      <c r="E511" s="67">
        <v>1860</v>
      </c>
      <c r="F511" s="67">
        <v>1440</v>
      </c>
      <c r="G511" s="8"/>
    </row>
    <row r="512" spans="1:8" x14ac:dyDescent="0.2">
      <c r="A512" s="18" t="s">
        <v>2335</v>
      </c>
      <c r="B512" s="254" t="s">
        <v>1961</v>
      </c>
      <c r="C512" s="67">
        <v>0</v>
      </c>
      <c r="D512" s="67">
        <v>0</v>
      </c>
      <c r="E512" s="67">
        <v>0</v>
      </c>
      <c r="F512" s="67">
        <v>1400</v>
      </c>
      <c r="G512" s="8"/>
    </row>
    <row r="513" spans="1:7" x14ac:dyDescent="0.2">
      <c r="A513" s="18" t="s">
        <v>1042</v>
      </c>
      <c r="B513" s="254" t="s">
        <v>1895</v>
      </c>
      <c r="C513" s="67">
        <v>7869.72</v>
      </c>
      <c r="D513" s="67">
        <v>9132.2099999999991</v>
      </c>
      <c r="E513" s="67">
        <v>13290</v>
      </c>
      <c r="F513" s="67">
        <v>13530</v>
      </c>
      <c r="G513" s="8"/>
    </row>
    <row r="514" spans="1:7" x14ac:dyDescent="0.2">
      <c r="A514" s="18" t="s">
        <v>1043</v>
      </c>
      <c r="B514" s="254" t="s">
        <v>1896</v>
      </c>
      <c r="C514" s="67">
        <v>12738.6</v>
      </c>
      <c r="D514" s="67">
        <v>14942.8</v>
      </c>
      <c r="E514" s="67">
        <v>20335</v>
      </c>
      <c r="F514" s="67">
        <v>20957</v>
      </c>
      <c r="G514" s="8"/>
    </row>
    <row r="515" spans="1:7" x14ac:dyDescent="0.2">
      <c r="A515" s="18" t="s">
        <v>1044</v>
      </c>
      <c r="B515" s="254" t="s">
        <v>1897</v>
      </c>
      <c r="C515" s="67">
        <v>13920</v>
      </c>
      <c r="D515" s="67">
        <v>17449.45</v>
      </c>
      <c r="E515" s="67">
        <f>23400+235</f>
        <v>23635</v>
      </c>
      <c r="F515" s="67">
        <f>23400+235</f>
        <v>23635</v>
      </c>
      <c r="G515" s="8"/>
    </row>
    <row r="516" spans="1:7" x14ac:dyDescent="0.2">
      <c r="A516" s="18" t="s">
        <v>1040</v>
      </c>
      <c r="B516" s="254" t="s">
        <v>1898</v>
      </c>
      <c r="C516" s="67">
        <v>4844.12</v>
      </c>
      <c r="D516" s="67">
        <v>5483.21</v>
      </c>
      <c r="E516" s="67">
        <v>7200</v>
      </c>
      <c r="F516" s="67">
        <v>7200</v>
      </c>
      <c r="G516" s="8"/>
    </row>
    <row r="517" spans="1:7" x14ac:dyDescent="0.2">
      <c r="A517" s="18" t="s">
        <v>1045</v>
      </c>
      <c r="B517" s="254" t="s">
        <v>1899</v>
      </c>
      <c r="C517" s="67">
        <v>914.55</v>
      </c>
      <c r="D517" s="67">
        <v>2860.43</v>
      </c>
      <c r="E517" s="67">
        <v>1500</v>
      </c>
      <c r="F517" s="67">
        <v>1500</v>
      </c>
      <c r="G517" s="8"/>
    </row>
    <row r="518" spans="1:7" x14ac:dyDescent="0.2">
      <c r="A518" s="18" t="s">
        <v>1046</v>
      </c>
      <c r="B518" s="254" t="s">
        <v>1900</v>
      </c>
      <c r="C518" s="67">
        <v>19.899999999999999</v>
      </c>
      <c r="D518" s="67">
        <v>0</v>
      </c>
      <c r="E518" s="67">
        <v>100</v>
      </c>
      <c r="F518" s="67">
        <v>100</v>
      </c>
      <c r="G518" s="8"/>
    </row>
    <row r="519" spans="1:7" x14ac:dyDescent="0.2">
      <c r="A519" s="18" t="s">
        <v>1047</v>
      </c>
      <c r="B519" s="254" t="s">
        <v>1901</v>
      </c>
      <c r="C519" s="34">
        <v>720</v>
      </c>
      <c r="D519" s="34">
        <v>780</v>
      </c>
      <c r="E519" s="34">
        <v>1200</v>
      </c>
      <c r="F519" s="34">
        <v>3000</v>
      </c>
      <c r="G519" s="8"/>
    </row>
    <row r="520" spans="1:7" x14ac:dyDescent="0.2">
      <c r="A520" s="18" t="s">
        <v>1048</v>
      </c>
      <c r="B520" s="254" t="s">
        <v>1902</v>
      </c>
      <c r="C520" s="67">
        <v>1521.72</v>
      </c>
      <c r="D520" s="67">
        <v>2030.55</v>
      </c>
      <c r="E520" s="67">
        <v>3500</v>
      </c>
      <c r="F520" s="67">
        <v>12000</v>
      </c>
      <c r="G520" s="8"/>
    </row>
    <row r="521" spans="1:7" x14ac:dyDescent="0.2">
      <c r="A521" s="18" t="s">
        <v>1049</v>
      </c>
      <c r="B521" s="254" t="s">
        <v>1904</v>
      </c>
      <c r="C521" s="85">
        <v>5688.45</v>
      </c>
      <c r="D521" s="85">
        <v>4638.09</v>
      </c>
      <c r="E521" s="85">
        <v>6000</v>
      </c>
      <c r="F521" s="85">
        <v>8000</v>
      </c>
      <c r="G521" s="8"/>
    </row>
    <row r="522" spans="1:7" x14ac:dyDescent="0.2">
      <c r="A522" s="18"/>
      <c r="B522" s="6" t="s">
        <v>1099</v>
      </c>
      <c r="C522" s="73">
        <f>SUM(C508:C521)</f>
        <v>157009.43</v>
      </c>
      <c r="D522" s="63">
        <f>SUM(D508:D521)</f>
        <v>183153.09999999998</v>
      </c>
      <c r="E522" s="73">
        <f>SUM(E508:E521)</f>
        <v>242087</v>
      </c>
      <c r="F522" s="73">
        <f>SUM(F508:F521)</f>
        <v>258385</v>
      </c>
      <c r="G522" s="8"/>
    </row>
    <row r="523" spans="1:7" x14ac:dyDescent="0.2">
      <c r="A523" s="18"/>
      <c r="B523" s="4" t="s">
        <v>638</v>
      </c>
      <c r="C523" s="75" t="s">
        <v>1410</v>
      </c>
      <c r="D523" s="230" t="s">
        <v>1410</v>
      </c>
      <c r="E523" s="75" t="s">
        <v>1410</v>
      </c>
      <c r="F523" s="75" t="s">
        <v>1410</v>
      </c>
      <c r="G523" s="8"/>
    </row>
    <row r="524" spans="1:7" x14ac:dyDescent="0.2">
      <c r="A524" s="18"/>
      <c r="B524" s="4" t="s">
        <v>963</v>
      </c>
      <c r="C524" s="75" t="s">
        <v>1410</v>
      </c>
      <c r="D524" s="230" t="s">
        <v>1410</v>
      </c>
      <c r="E524" s="75" t="s">
        <v>1410</v>
      </c>
      <c r="F524" s="75" t="s">
        <v>1410</v>
      </c>
    </row>
    <row r="525" spans="1:7" x14ac:dyDescent="0.2">
      <c r="A525" s="18"/>
      <c r="B525" s="4" t="s">
        <v>130</v>
      </c>
      <c r="C525" s="75" t="s">
        <v>1410</v>
      </c>
      <c r="D525" s="230" t="s">
        <v>1410</v>
      </c>
      <c r="E525" s="75" t="s">
        <v>1410</v>
      </c>
      <c r="F525" s="75" t="s">
        <v>1410</v>
      </c>
    </row>
    <row r="526" spans="1:7" x14ac:dyDescent="0.2">
      <c r="A526" s="18"/>
      <c r="C526" s="77" t="str">
        <f>+$C$4</f>
        <v>2018 ACTUAL</v>
      </c>
      <c r="D526" s="266" t="str">
        <f>+D$4</f>
        <v>2019 ACTUAL</v>
      </c>
      <c r="E526" s="77" t="str">
        <f>+E$4</f>
        <v>2020 BUDGET</v>
      </c>
      <c r="F526" s="77" t="str">
        <f>+F$4</f>
        <v>2021 BUDGET</v>
      </c>
    </row>
    <row r="527" spans="1:7" x14ac:dyDescent="0.2">
      <c r="A527" s="18" t="s">
        <v>1050</v>
      </c>
      <c r="B527" s="4" t="s">
        <v>1276</v>
      </c>
    </row>
    <row r="528" spans="1:7" x14ac:dyDescent="0.2">
      <c r="A528" s="18" t="s">
        <v>1051</v>
      </c>
      <c r="B528" s="254" t="s">
        <v>1909</v>
      </c>
      <c r="C528" s="66">
        <v>36529.360000000001</v>
      </c>
      <c r="D528" s="67">
        <v>38573.47</v>
      </c>
      <c r="E528" s="66">
        <v>41630</v>
      </c>
      <c r="F528" s="66">
        <v>42830</v>
      </c>
    </row>
    <row r="529" spans="1:6" x14ac:dyDescent="0.2">
      <c r="A529" s="18" t="s">
        <v>1053</v>
      </c>
      <c r="B529" s="254" t="s">
        <v>1988</v>
      </c>
      <c r="C529" s="67">
        <v>63488.71</v>
      </c>
      <c r="D529" s="67">
        <v>60626.77</v>
      </c>
      <c r="E529" s="67">
        <f>21523+21523+21941</f>
        <v>64987</v>
      </c>
      <c r="F529" s="67">
        <f>22723+23141+23141</f>
        <v>69005</v>
      </c>
    </row>
    <row r="530" spans="1:6" x14ac:dyDescent="0.2">
      <c r="A530" s="18" t="s">
        <v>1052</v>
      </c>
      <c r="B530" s="254" t="s">
        <v>1994</v>
      </c>
      <c r="C530" s="34">
        <v>158804.42000000001</v>
      </c>
      <c r="D530" s="34">
        <v>140256.81</v>
      </c>
      <c r="E530" s="34">
        <f>36562+35032+32875+30236+34295</f>
        <v>169000</v>
      </c>
      <c r="F530" s="34">
        <f>37762+35495+34075+32072+36232</f>
        <v>175636</v>
      </c>
    </row>
    <row r="531" spans="1:6" x14ac:dyDescent="0.2">
      <c r="A531" s="18" t="s">
        <v>1248</v>
      </c>
      <c r="B531" s="254" t="s">
        <v>1989</v>
      </c>
      <c r="C531" s="67">
        <v>12619.92</v>
      </c>
      <c r="D531" s="67">
        <v>11971.25</v>
      </c>
      <c r="E531" s="67">
        <v>15066</v>
      </c>
      <c r="F531" s="67">
        <v>15906</v>
      </c>
    </row>
    <row r="532" spans="1:6" x14ac:dyDescent="0.2">
      <c r="A532" s="18" t="s">
        <v>1054</v>
      </c>
      <c r="B532" s="254" t="s">
        <v>1995</v>
      </c>
      <c r="C532" s="67">
        <v>17928.73</v>
      </c>
      <c r="D532" s="67">
        <v>14105.87</v>
      </c>
      <c r="E532" s="67">
        <f>8609+8609</f>
        <v>17218</v>
      </c>
      <c r="F532" s="67">
        <f>9089+9089</f>
        <v>18178</v>
      </c>
    </row>
    <row r="533" spans="1:6" x14ac:dyDescent="0.2">
      <c r="A533" s="18" t="s">
        <v>1055</v>
      </c>
      <c r="B533" s="254" t="s">
        <v>1893</v>
      </c>
      <c r="C533" s="67">
        <v>840.05</v>
      </c>
      <c r="D533" s="67">
        <v>1629.06</v>
      </c>
      <c r="E533" s="67">
        <v>1560</v>
      </c>
      <c r="F533" s="67">
        <v>1020</v>
      </c>
    </row>
    <row r="534" spans="1:6" x14ac:dyDescent="0.2">
      <c r="A534" s="18" t="s">
        <v>1057</v>
      </c>
      <c r="B534" s="254" t="s">
        <v>1895</v>
      </c>
      <c r="C534" s="34">
        <v>22036.21</v>
      </c>
      <c r="D534" s="34">
        <v>20575.21</v>
      </c>
      <c r="E534" s="34">
        <v>24484</v>
      </c>
      <c r="F534" s="34">
        <v>25630</v>
      </c>
    </row>
    <row r="535" spans="1:6" x14ac:dyDescent="0.2">
      <c r="A535" s="18" t="s">
        <v>1058</v>
      </c>
      <c r="B535" s="254" t="s">
        <v>1896</v>
      </c>
      <c r="C535" s="34">
        <v>33960.83</v>
      </c>
      <c r="D535" s="34">
        <v>31045.57</v>
      </c>
      <c r="E535" s="34">
        <v>38064</v>
      </c>
      <c r="F535" s="34">
        <v>40211</v>
      </c>
    </row>
    <row r="536" spans="1:6" x14ac:dyDescent="0.2">
      <c r="A536" s="18" t="s">
        <v>1059</v>
      </c>
      <c r="B536" s="254" t="s">
        <v>1897</v>
      </c>
      <c r="C536" s="67">
        <v>55998.77</v>
      </c>
      <c r="D536" s="67">
        <v>51685</v>
      </c>
      <c r="E536" s="67">
        <f>70200+704</f>
        <v>70904</v>
      </c>
      <c r="F536" s="67">
        <f>46800+704</f>
        <v>47504</v>
      </c>
    </row>
    <row r="537" spans="1:6" x14ac:dyDescent="0.2">
      <c r="A537" s="18" t="s">
        <v>1056</v>
      </c>
      <c r="B537" s="254" t="s">
        <v>1898</v>
      </c>
      <c r="C537" s="67">
        <v>9675.86</v>
      </c>
      <c r="D537" s="67">
        <v>7969.15</v>
      </c>
      <c r="E537" s="67">
        <v>9875</v>
      </c>
      <c r="F537" s="67">
        <f>9875+1200</f>
        <v>11075</v>
      </c>
    </row>
    <row r="538" spans="1:6" x14ac:dyDescent="0.2">
      <c r="A538" s="18" t="s">
        <v>1060</v>
      </c>
      <c r="B538" s="254" t="s">
        <v>1996</v>
      </c>
      <c r="C538" s="34">
        <v>5827.25</v>
      </c>
      <c r="D538" s="34">
        <v>5707.15</v>
      </c>
      <c r="E538" s="34">
        <v>6000</v>
      </c>
      <c r="F538" s="34">
        <v>6000</v>
      </c>
    </row>
    <row r="539" spans="1:6" x14ac:dyDescent="0.2">
      <c r="A539" s="18" t="s">
        <v>1061</v>
      </c>
      <c r="B539" s="254" t="s">
        <v>1899</v>
      </c>
      <c r="C539" s="67">
        <v>598.04</v>
      </c>
      <c r="D539" s="67">
        <v>186.29</v>
      </c>
      <c r="E539" s="67">
        <v>600</v>
      </c>
      <c r="F539" s="67">
        <v>600</v>
      </c>
    </row>
    <row r="540" spans="1:6" x14ac:dyDescent="0.2">
      <c r="A540" s="18" t="s">
        <v>1123</v>
      </c>
      <c r="B540" s="254" t="s">
        <v>1997</v>
      </c>
      <c r="C540" s="34">
        <v>16692.150000000001</v>
      </c>
      <c r="D540" s="34">
        <v>17412.919999999998</v>
      </c>
      <c r="E540" s="34">
        <v>18000</v>
      </c>
      <c r="F540" s="34">
        <v>21000</v>
      </c>
    </row>
    <row r="541" spans="1:6" x14ac:dyDescent="0.2">
      <c r="A541" s="18" t="s">
        <v>44</v>
      </c>
      <c r="B541" s="254" t="s">
        <v>1973</v>
      </c>
      <c r="C541" s="34">
        <v>3002.36</v>
      </c>
      <c r="D541" s="34">
        <v>2410.86</v>
      </c>
      <c r="E541" s="34">
        <v>3000</v>
      </c>
      <c r="F541" s="34">
        <v>4000</v>
      </c>
    </row>
    <row r="542" spans="1:6" x14ac:dyDescent="0.2">
      <c r="A542" s="18" t="s">
        <v>1124</v>
      </c>
      <c r="B542" s="254" t="s">
        <v>1901</v>
      </c>
      <c r="C542" s="34">
        <v>960</v>
      </c>
      <c r="D542" s="34">
        <v>740</v>
      </c>
      <c r="E542" s="34">
        <v>720</v>
      </c>
      <c r="F542" s="34">
        <v>720</v>
      </c>
    </row>
    <row r="543" spans="1:6" x14ac:dyDescent="0.2">
      <c r="A543" s="18" t="s">
        <v>1127</v>
      </c>
      <c r="B543" s="254" t="s">
        <v>1902</v>
      </c>
      <c r="C543" s="34">
        <v>0</v>
      </c>
      <c r="D543" s="34">
        <v>327.75</v>
      </c>
      <c r="E543" s="34">
        <v>0</v>
      </c>
      <c r="F543" s="34">
        <v>0</v>
      </c>
    </row>
    <row r="544" spans="1:6" x14ac:dyDescent="0.2">
      <c r="A544" s="18" t="s">
        <v>1125</v>
      </c>
      <c r="B544" s="254" t="s">
        <v>1998</v>
      </c>
      <c r="C544" s="34">
        <v>199696.5</v>
      </c>
      <c r="D544" s="34">
        <v>179511.82</v>
      </c>
      <c r="E544" s="34">
        <v>200000</v>
      </c>
      <c r="F544" s="34">
        <v>200000</v>
      </c>
    </row>
    <row r="545" spans="1:7" x14ac:dyDescent="0.2">
      <c r="A545" s="18" t="s">
        <v>77</v>
      </c>
      <c r="B545" s="254" t="s">
        <v>1976</v>
      </c>
      <c r="C545" s="67">
        <v>1158.8800000000001</v>
      </c>
      <c r="D545" s="67">
        <v>1091.6300000000001</v>
      </c>
      <c r="E545" s="67">
        <v>600</v>
      </c>
      <c r="F545" s="67">
        <v>800</v>
      </c>
    </row>
    <row r="546" spans="1:7" x14ac:dyDescent="0.2">
      <c r="A546" s="18" t="s">
        <v>1126</v>
      </c>
      <c r="B546" s="254" t="s">
        <v>1926</v>
      </c>
      <c r="C546" s="67">
        <v>80505</v>
      </c>
      <c r="D546" s="67">
        <v>46110.18</v>
      </c>
      <c r="E546" s="67">
        <f>55000+35000</f>
        <v>90000</v>
      </c>
      <c r="F546" s="67">
        <v>80000</v>
      </c>
      <c r="G546" s="105"/>
    </row>
    <row r="547" spans="1:7" x14ac:dyDescent="0.2">
      <c r="A547" s="18" t="s">
        <v>1128</v>
      </c>
      <c r="B547" s="254" t="s">
        <v>1907</v>
      </c>
      <c r="C547" s="67">
        <v>56580.99</v>
      </c>
      <c r="D547" s="67">
        <v>74036.62</v>
      </c>
      <c r="E547" s="67">
        <v>60000</v>
      </c>
      <c r="F547" s="67">
        <v>75000</v>
      </c>
    </row>
    <row r="548" spans="1:7" x14ac:dyDescent="0.2">
      <c r="A548" s="18" t="s">
        <v>1129</v>
      </c>
      <c r="B548" s="254" t="s">
        <v>1904</v>
      </c>
      <c r="C548" s="54">
        <v>1378.81</v>
      </c>
      <c r="D548" s="54">
        <v>416.56</v>
      </c>
      <c r="E548" s="54">
        <v>1800</v>
      </c>
      <c r="F548" s="54">
        <v>2000</v>
      </c>
    </row>
    <row r="549" spans="1:7" x14ac:dyDescent="0.2">
      <c r="A549" s="18" t="s">
        <v>1311</v>
      </c>
      <c r="B549" s="254" t="s">
        <v>1999</v>
      </c>
      <c r="C549" s="67">
        <v>0</v>
      </c>
      <c r="D549" s="67">
        <v>0</v>
      </c>
      <c r="E549" s="67">
        <v>0</v>
      </c>
      <c r="F549" s="67">
        <v>0</v>
      </c>
    </row>
    <row r="550" spans="1:7" x14ac:dyDescent="0.2">
      <c r="A550" s="18" t="s">
        <v>2316</v>
      </c>
      <c r="B550" s="254" t="s">
        <v>2317</v>
      </c>
      <c r="C550" s="67">
        <v>0</v>
      </c>
      <c r="D550" s="67">
        <v>0</v>
      </c>
      <c r="E550" s="67">
        <v>0</v>
      </c>
      <c r="F550" s="67">
        <v>9209</v>
      </c>
    </row>
    <row r="551" spans="1:7" x14ac:dyDescent="0.2">
      <c r="A551" s="18" t="s">
        <v>1312</v>
      </c>
      <c r="B551" s="254" t="s">
        <v>2000</v>
      </c>
      <c r="C551" s="67">
        <v>59767.62</v>
      </c>
      <c r="D551" s="67">
        <v>0</v>
      </c>
      <c r="E551" s="67">
        <v>0</v>
      </c>
      <c r="F551" s="67">
        <v>0</v>
      </c>
      <c r="G551" s="4"/>
    </row>
    <row r="552" spans="1:7" x14ac:dyDescent="0.2">
      <c r="A552" s="18" t="s">
        <v>1313</v>
      </c>
      <c r="B552" s="254" t="s">
        <v>2001</v>
      </c>
      <c r="C552" s="63">
        <v>22663.26</v>
      </c>
      <c r="D552" s="63">
        <v>0</v>
      </c>
      <c r="E552" s="63">
        <v>0</v>
      </c>
      <c r="F552" s="63">
        <v>0</v>
      </c>
    </row>
    <row r="553" spans="1:7" x14ac:dyDescent="0.2">
      <c r="A553" s="18"/>
      <c r="B553" s="6" t="s">
        <v>1099</v>
      </c>
      <c r="C553" s="73">
        <f>SUM(C528:C552)</f>
        <v>860713.72000000009</v>
      </c>
      <c r="D553" s="63">
        <f>SUM(D528:D552)</f>
        <v>706389.94000000006</v>
      </c>
      <c r="E553" s="73">
        <f>SUM(E528:E552)</f>
        <v>833508</v>
      </c>
      <c r="F553" s="73">
        <f>SUM(F528:F552)</f>
        <v>846324</v>
      </c>
    </row>
    <row r="554" spans="1:7" x14ac:dyDescent="0.2">
      <c r="A554" s="18"/>
      <c r="B554" s="6"/>
      <c r="C554" s="72"/>
      <c r="D554" s="54"/>
      <c r="E554" s="72"/>
      <c r="F554" s="72"/>
    </row>
    <row r="555" spans="1:7" x14ac:dyDescent="0.2">
      <c r="A555" s="59" t="s">
        <v>1130</v>
      </c>
      <c r="B555" s="4" t="s">
        <v>1277</v>
      </c>
    </row>
    <row r="556" spans="1:7" x14ac:dyDescent="0.2">
      <c r="A556" s="18" t="s">
        <v>1131</v>
      </c>
      <c r="B556" s="254" t="s">
        <v>1909</v>
      </c>
      <c r="C556" s="80">
        <v>46976.28</v>
      </c>
      <c r="D556" s="34">
        <v>47776.04</v>
      </c>
      <c r="E556" s="80">
        <v>48576</v>
      </c>
      <c r="F556" s="80">
        <v>48709</v>
      </c>
    </row>
    <row r="557" spans="1:7" x14ac:dyDescent="0.2">
      <c r="A557" s="18" t="s">
        <v>1132</v>
      </c>
      <c r="B557" s="254" t="s">
        <v>2002</v>
      </c>
      <c r="C557" s="67">
        <v>34971.199999999997</v>
      </c>
      <c r="D557" s="67">
        <v>36555.230000000003</v>
      </c>
      <c r="E557" s="67">
        <v>37355</v>
      </c>
      <c r="F557" s="67">
        <v>38555</v>
      </c>
    </row>
    <row r="558" spans="1:7" x14ac:dyDescent="0.2">
      <c r="A558" s="18" t="s">
        <v>1133</v>
      </c>
      <c r="B558" s="254" t="s">
        <v>1908</v>
      </c>
      <c r="C558" s="67">
        <v>26245.96</v>
      </c>
      <c r="D558" s="67">
        <v>27045.98</v>
      </c>
      <c r="E558" s="67">
        <v>28422</v>
      </c>
      <c r="F558" s="67">
        <v>29622</v>
      </c>
    </row>
    <row r="559" spans="1:7" x14ac:dyDescent="0.2">
      <c r="A559" s="18" t="s">
        <v>463</v>
      </c>
      <c r="B559" s="254" t="s">
        <v>2003</v>
      </c>
      <c r="C559" s="67">
        <v>3199.82</v>
      </c>
      <c r="D559" s="67">
        <v>3199.82</v>
      </c>
      <c r="E559" s="67">
        <v>3200</v>
      </c>
      <c r="F559" s="67">
        <v>3200</v>
      </c>
    </row>
    <row r="560" spans="1:7" x14ac:dyDescent="0.2">
      <c r="A560" s="18" t="s">
        <v>1818</v>
      </c>
      <c r="B560" s="254" t="s">
        <v>2004</v>
      </c>
      <c r="C560" s="67">
        <v>0</v>
      </c>
      <c r="D560" s="67">
        <v>0</v>
      </c>
      <c r="E560" s="67">
        <v>20731</v>
      </c>
      <c r="F560" s="67">
        <v>21571</v>
      </c>
    </row>
    <row r="561" spans="1:7" x14ac:dyDescent="0.2">
      <c r="A561" s="18" t="s">
        <v>1134</v>
      </c>
      <c r="B561" s="254" t="s">
        <v>1893</v>
      </c>
      <c r="C561" s="67">
        <v>895.25</v>
      </c>
      <c r="D561" s="67">
        <v>1649.86</v>
      </c>
      <c r="E561" s="67">
        <v>1860</v>
      </c>
      <c r="F561" s="67">
        <v>1440</v>
      </c>
    </row>
    <row r="562" spans="1:7" x14ac:dyDescent="0.2">
      <c r="A562" s="18" t="s">
        <v>1135</v>
      </c>
      <c r="B562" s="254" t="s">
        <v>1961</v>
      </c>
      <c r="C562" s="67">
        <v>3400.02</v>
      </c>
      <c r="D562" s="67">
        <v>3400.02</v>
      </c>
      <c r="E562" s="67">
        <v>4000</v>
      </c>
      <c r="F562" s="67">
        <v>4000</v>
      </c>
    </row>
    <row r="563" spans="1:7" x14ac:dyDescent="0.2">
      <c r="A563" s="18" t="s">
        <v>1136</v>
      </c>
      <c r="B563" s="254" t="s">
        <v>1895</v>
      </c>
      <c r="C563" s="67">
        <v>8108.31</v>
      </c>
      <c r="D563" s="67">
        <v>8327.6200000000008</v>
      </c>
      <c r="E563" s="67">
        <v>11100</v>
      </c>
      <c r="F563" s="67">
        <v>11326</v>
      </c>
    </row>
    <row r="564" spans="1:7" x14ac:dyDescent="0.2">
      <c r="A564" s="18" t="s">
        <v>1137</v>
      </c>
      <c r="B564" s="254" t="s">
        <v>1896</v>
      </c>
      <c r="C564" s="34">
        <v>13547.44</v>
      </c>
      <c r="D564" s="34">
        <v>14195.98</v>
      </c>
      <c r="E564" s="34">
        <v>17730</v>
      </c>
      <c r="F564" s="34">
        <v>18299</v>
      </c>
    </row>
    <row r="565" spans="1:7" x14ac:dyDescent="0.2">
      <c r="A565" s="18" t="s">
        <v>1138</v>
      </c>
      <c r="B565" s="254" t="s">
        <v>1897</v>
      </c>
      <c r="C565" s="34">
        <v>13920</v>
      </c>
      <c r="D565" s="34">
        <v>15530</v>
      </c>
      <c r="E565" s="34">
        <v>15835</v>
      </c>
      <c r="F565" s="34">
        <f>23400+235</f>
        <v>23635</v>
      </c>
    </row>
    <row r="566" spans="1:7" x14ac:dyDescent="0.2">
      <c r="A566" s="18" t="s">
        <v>1092</v>
      </c>
      <c r="B566" s="254" t="s">
        <v>1898</v>
      </c>
      <c r="C566" s="67">
        <v>0</v>
      </c>
      <c r="D566" s="67">
        <v>0</v>
      </c>
      <c r="E566" s="67">
        <v>0</v>
      </c>
      <c r="F566" s="67">
        <v>0</v>
      </c>
    </row>
    <row r="567" spans="1:7" x14ac:dyDescent="0.2">
      <c r="A567" s="18" t="s">
        <v>1527</v>
      </c>
      <c r="B567" s="254" t="s">
        <v>1996</v>
      </c>
      <c r="C567" s="67">
        <v>794</v>
      </c>
      <c r="D567" s="67">
        <v>281.66000000000003</v>
      </c>
      <c r="E567" s="67">
        <v>800</v>
      </c>
      <c r="F567" s="67">
        <v>800</v>
      </c>
    </row>
    <row r="568" spans="1:7" x14ac:dyDescent="0.2">
      <c r="A568" s="18" t="s">
        <v>472</v>
      </c>
      <c r="B568" s="254" t="s">
        <v>1899</v>
      </c>
      <c r="C568" s="67">
        <v>2962.9</v>
      </c>
      <c r="D568" s="67">
        <v>2907.34</v>
      </c>
      <c r="E568" s="67">
        <v>3000</v>
      </c>
      <c r="F568" s="67">
        <v>3900</v>
      </c>
    </row>
    <row r="569" spans="1:7" x14ac:dyDescent="0.2">
      <c r="A569" s="18" t="s">
        <v>473</v>
      </c>
      <c r="B569" s="254" t="s">
        <v>1900</v>
      </c>
      <c r="C569" s="67">
        <v>0</v>
      </c>
      <c r="D569" s="67">
        <v>0</v>
      </c>
      <c r="E569" s="67">
        <v>100</v>
      </c>
      <c r="F569" s="67">
        <v>100</v>
      </c>
    </row>
    <row r="570" spans="1:7" x14ac:dyDescent="0.2">
      <c r="A570" s="18" t="s">
        <v>475</v>
      </c>
      <c r="B570" s="254" t="s">
        <v>1973</v>
      </c>
      <c r="C570" s="67">
        <v>5208.53</v>
      </c>
      <c r="D570" s="67">
        <v>3959.72</v>
      </c>
      <c r="E570" s="67">
        <v>5500</v>
      </c>
      <c r="F570" s="67">
        <v>5500</v>
      </c>
    </row>
    <row r="571" spans="1:7" x14ac:dyDescent="0.2">
      <c r="A571" s="18" t="s">
        <v>474</v>
      </c>
      <c r="B571" s="254" t="s">
        <v>1901</v>
      </c>
      <c r="C571" s="67">
        <v>960</v>
      </c>
      <c r="D571" s="67">
        <v>960</v>
      </c>
      <c r="E571" s="67">
        <v>960</v>
      </c>
      <c r="F571" s="67">
        <v>2200</v>
      </c>
      <c r="G571" s="223"/>
    </row>
    <row r="572" spans="1:7" x14ac:dyDescent="0.2">
      <c r="A572" s="18" t="s">
        <v>477</v>
      </c>
      <c r="B572" s="254" t="s">
        <v>1902</v>
      </c>
      <c r="C572" s="67">
        <v>1329.85</v>
      </c>
      <c r="D572" s="67">
        <v>1449.63</v>
      </c>
      <c r="E572" s="67">
        <v>2000</v>
      </c>
      <c r="F572" s="67">
        <v>6700</v>
      </c>
    </row>
    <row r="573" spans="1:7" x14ac:dyDescent="0.2">
      <c r="A573" s="18" t="s">
        <v>476</v>
      </c>
      <c r="B573" s="254" t="s">
        <v>1976</v>
      </c>
      <c r="C573" s="34">
        <v>2483.06</v>
      </c>
      <c r="D573" s="34">
        <v>904.47</v>
      </c>
      <c r="E573" s="34">
        <v>1200</v>
      </c>
      <c r="F573" s="34">
        <v>1200</v>
      </c>
    </row>
    <row r="574" spans="1:7" x14ac:dyDescent="0.2">
      <c r="A574" s="18" t="s">
        <v>478</v>
      </c>
      <c r="B574" s="254" t="s">
        <v>1903</v>
      </c>
      <c r="C574" s="34">
        <v>50</v>
      </c>
      <c r="D574" s="34">
        <v>50</v>
      </c>
      <c r="E574" s="34">
        <v>50</v>
      </c>
      <c r="F574" s="34">
        <v>50</v>
      </c>
    </row>
    <row r="575" spans="1:7" x14ac:dyDescent="0.2">
      <c r="A575" s="18" t="s">
        <v>479</v>
      </c>
      <c r="B575" s="254" t="s">
        <v>1904</v>
      </c>
      <c r="C575" s="34">
        <v>0</v>
      </c>
      <c r="D575" s="34">
        <v>2984.68</v>
      </c>
      <c r="E575" s="34">
        <v>1500</v>
      </c>
      <c r="F575" s="34">
        <v>1500</v>
      </c>
    </row>
    <row r="576" spans="1:7" x14ac:dyDescent="0.2">
      <c r="A576" s="18" t="s">
        <v>480</v>
      </c>
      <c r="B576" s="254" t="s">
        <v>2005</v>
      </c>
      <c r="C576" s="67">
        <v>27552.59</v>
      </c>
      <c r="D576" s="67">
        <v>0</v>
      </c>
      <c r="E576" s="67">
        <v>0</v>
      </c>
      <c r="F576" s="67">
        <v>0</v>
      </c>
    </row>
    <row r="577" spans="1:6" x14ac:dyDescent="0.2">
      <c r="A577" s="18" t="s">
        <v>2318</v>
      </c>
      <c r="B577" s="254" t="s">
        <v>2317</v>
      </c>
      <c r="C577" s="67">
        <v>0</v>
      </c>
      <c r="D577" s="67">
        <v>0</v>
      </c>
      <c r="E577" s="67">
        <v>0</v>
      </c>
      <c r="F577" s="67">
        <v>6500</v>
      </c>
    </row>
    <row r="578" spans="1:6" x14ac:dyDescent="0.2">
      <c r="A578" s="18" t="s">
        <v>1188</v>
      </c>
      <c r="B578" s="254" t="s">
        <v>2006</v>
      </c>
      <c r="C578" s="67">
        <v>12000</v>
      </c>
      <c r="D578" s="67">
        <v>-3458.35</v>
      </c>
      <c r="E578" s="67">
        <v>12000</v>
      </c>
      <c r="F578" s="67">
        <v>0</v>
      </c>
    </row>
    <row r="579" spans="1:6" x14ac:dyDescent="0.2">
      <c r="A579" s="18" t="s">
        <v>1189</v>
      </c>
      <c r="B579" s="254" t="s">
        <v>2007</v>
      </c>
      <c r="C579" s="67">
        <v>0</v>
      </c>
      <c r="D579" s="67">
        <v>-3625</v>
      </c>
      <c r="E579" s="67">
        <v>0</v>
      </c>
      <c r="F579" s="67">
        <v>0</v>
      </c>
    </row>
    <row r="580" spans="1:6" x14ac:dyDescent="0.2">
      <c r="A580" s="18" t="s">
        <v>1190</v>
      </c>
      <c r="B580" s="254" t="s">
        <v>2008</v>
      </c>
      <c r="C580" s="67">
        <v>0</v>
      </c>
      <c r="D580" s="67">
        <v>-833.33</v>
      </c>
      <c r="E580" s="67">
        <v>0</v>
      </c>
      <c r="F580" s="67">
        <v>0</v>
      </c>
    </row>
    <row r="581" spans="1:6" x14ac:dyDescent="0.2">
      <c r="A581" s="18" t="s">
        <v>1191</v>
      </c>
      <c r="B581" s="254" t="s">
        <v>2009</v>
      </c>
      <c r="C581" s="67">
        <v>0</v>
      </c>
      <c r="D581" s="67">
        <v>-625</v>
      </c>
      <c r="E581" s="67">
        <v>0</v>
      </c>
      <c r="F581" s="67">
        <v>0</v>
      </c>
    </row>
    <row r="582" spans="1:6" x14ac:dyDescent="0.2">
      <c r="A582" s="18" t="s">
        <v>1192</v>
      </c>
      <c r="B582" s="254" t="s">
        <v>2010</v>
      </c>
      <c r="C582" s="67">
        <v>0</v>
      </c>
      <c r="D582" s="67">
        <v>0</v>
      </c>
      <c r="E582" s="67">
        <v>0</v>
      </c>
      <c r="F582" s="67">
        <v>0</v>
      </c>
    </row>
    <row r="583" spans="1:6" x14ac:dyDescent="0.2">
      <c r="A583" s="18" t="s">
        <v>368</v>
      </c>
      <c r="B583" s="254" t="s">
        <v>2011</v>
      </c>
      <c r="C583" s="67">
        <v>900</v>
      </c>
      <c r="D583" s="67">
        <v>500</v>
      </c>
      <c r="E583" s="67">
        <v>900</v>
      </c>
      <c r="F583" s="67">
        <f>900+8000</f>
        <v>8900</v>
      </c>
    </row>
    <row r="584" spans="1:6" x14ac:dyDescent="0.2">
      <c r="A584" s="18" t="s">
        <v>369</v>
      </c>
      <c r="B584" s="254" t="s">
        <v>2012</v>
      </c>
      <c r="C584" s="34">
        <v>0</v>
      </c>
      <c r="D584" s="34">
        <v>0</v>
      </c>
      <c r="E584" s="34">
        <v>0</v>
      </c>
      <c r="F584" s="34">
        <v>0</v>
      </c>
    </row>
    <row r="585" spans="1:6" x14ac:dyDescent="0.2">
      <c r="A585" s="18" t="s">
        <v>370</v>
      </c>
      <c r="B585" s="254" t="s">
        <v>2013</v>
      </c>
      <c r="C585" s="63">
        <v>0</v>
      </c>
      <c r="D585" s="63">
        <v>0</v>
      </c>
      <c r="E585" s="63">
        <v>0</v>
      </c>
      <c r="F585" s="63">
        <v>0</v>
      </c>
    </row>
    <row r="586" spans="1:6" x14ac:dyDescent="0.2">
      <c r="A586" s="18"/>
      <c r="B586" s="6" t="s">
        <v>1099</v>
      </c>
      <c r="C586" s="69">
        <f>SUM(C556:C585)</f>
        <v>205505.21</v>
      </c>
      <c r="D586" s="87">
        <f>SUM(D556:D585)</f>
        <v>163136.37000000002</v>
      </c>
      <c r="E586" s="69">
        <f>SUM(E556:E585)</f>
        <v>216819</v>
      </c>
      <c r="F586" s="69">
        <f>SUM(F556:F585)</f>
        <v>237707</v>
      </c>
    </row>
    <row r="587" spans="1:6" x14ac:dyDescent="0.2">
      <c r="A587" s="18"/>
      <c r="B587" s="4" t="s">
        <v>638</v>
      </c>
      <c r="C587" s="75" t="s">
        <v>1410</v>
      </c>
      <c r="D587" s="230" t="s">
        <v>1410</v>
      </c>
      <c r="E587" s="75" t="s">
        <v>1410</v>
      </c>
      <c r="F587" s="75" t="s">
        <v>1410</v>
      </c>
    </row>
    <row r="588" spans="1:6" x14ac:dyDescent="0.2">
      <c r="A588" s="18"/>
      <c r="B588" s="4" t="s">
        <v>963</v>
      </c>
      <c r="C588" s="75" t="s">
        <v>1410</v>
      </c>
      <c r="D588" s="230" t="s">
        <v>1410</v>
      </c>
      <c r="E588" s="75" t="s">
        <v>1410</v>
      </c>
      <c r="F588" s="75" t="s">
        <v>1410</v>
      </c>
    </row>
    <row r="589" spans="1:6" x14ac:dyDescent="0.2">
      <c r="A589" s="18"/>
      <c r="B589" s="4" t="s">
        <v>130</v>
      </c>
      <c r="C589" s="75" t="s">
        <v>1410</v>
      </c>
      <c r="D589" s="230" t="s">
        <v>1410</v>
      </c>
      <c r="E589" s="75" t="s">
        <v>1410</v>
      </c>
      <c r="F589" s="75" t="s">
        <v>1410</v>
      </c>
    </row>
    <row r="590" spans="1:6" x14ac:dyDescent="0.2">
      <c r="A590" s="18"/>
      <c r="C590" s="77" t="str">
        <f>+$C$4</f>
        <v>2018 ACTUAL</v>
      </c>
      <c r="D590" s="266" t="str">
        <f>+D$4</f>
        <v>2019 ACTUAL</v>
      </c>
      <c r="E590" s="77" t="str">
        <f>+E$4</f>
        <v>2020 BUDGET</v>
      </c>
      <c r="F590" s="77" t="str">
        <f>+F$4</f>
        <v>2021 BUDGET</v>
      </c>
    </row>
    <row r="591" spans="1:6" x14ac:dyDescent="0.2">
      <c r="A591" s="59" t="s">
        <v>371</v>
      </c>
      <c r="B591" s="4" t="s">
        <v>358</v>
      </c>
      <c r="C591" s="97"/>
      <c r="D591" s="267"/>
      <c r="E591" s="97"/>
      <c r="F591" s="97"/>
    </row>
    <row r="592" spans="1:6" x14ac:dyDescent="0.2">
      <c r="A592" s="129" t="s">
        <v>1338</v>
      </c>
      <c r="B592" s="254" t="s">
        <v>1888</v>
      </c>
      <c r="C592" s="66">
        <v>34816.080000000002</v>
      </c>
      <c r="D592" s="67">
        <v>35616.1</v>
      </c>
      <c r="E592" s="66">
        <v>36416</v>
      </c>
      <c r="F592" s="66">
        <v>37616</v>
      </c>
    </row>
    <row r="593" spans="1:6" x14ac:dyDescent="0.2">
      <c r="A593" s="129" t="s">
        <v>1337</v>
      </c>
      <c r="B593" s="254" t="s">
        <v>1893</v>
      </c>
      <c r="C593" s="67">
        <v>0</v>
      </c>
      <c r="D593" s="67">
        <v>0</v>
      </c>
      <c r="E593" s="67">
        <v>0</v>
      </c>
      <c r="F593" s="67">
        <v>180</v>
      </c>
    </row>
    <row r="594" spans="1:6" x14ac:dyDescent="0.2">
      <c r="A594" s="18" t="s">
        <v>372</v>
      </c>
      <c r="B594" s="254" t="s">
        <v>1961</v>
      </c>
      <c r="C594" s="67">
        <v>1400.1</v>
      </c>
      <c r="D594" s="67">
        <v>1999.92</v>
      </c>
      <c r="E594" s="67">
        <v>2000</v>
      </c>
      <c r="F594" s="67">
        <v>2000</v>
      </c>
    </row>
    <row r="595" spans="1:6" x14ac:dyDescent="0.2">
      <c r="A595" s="18" t="s">
        <v>373</v>
      </c>
      <c r="B595" s="254" t="s">
        <v>1895</v>
      </c>
      <c r="C595" s="67">
        <v>2362.34</v>
      </c>
      <c r="D595" s="67">
        <v>2425.4499999999998</v>
      </c>
      <c r="E595" s="67">
        <v>2976</v>
      </c>
      <c r="F595" s="67">
        <v>3081</v>
      </c>
    </row>
    <row r="596" spans="1:6" x14ac:dyDescent="0.2">
      <c r="A596" s="18" t="s">
        <v>374</v>
      </c>
      <c r="B596" s="254" t="s">
        <v>1896</v>
      </c>
      <c r="C596" s="67">
        <v>4241.26</v>
      </c>
      <c r="D596" s="67">
        <v>4462.82</v>
      </c>
      <c r="E596" s="67">
        <v>4725</v>
      </c>
      <c r="F596" s="67">
        <v>4951</v>
      </c>
    </row>
    <row r="597" spans="1:6" x14ac:dyDescent="0.2">
      <c r="A597" s="18" t="s">
        <v>375</v>
      </c>
      <c r="B597" s="254" t="s">
        <v>1897</v>
      </c>
      <c r="C597" s="34">
        <v>6960</v>
      </c>
      <c r="D597" s="34">
        <v>7765</v>
      </c>
      <c r="E597" s="34">
        <v>7878</v>
      </c>
      <c r="F597" s="34">
        <v>7878</v>
      </c>
    </row>
    <row r="598" spans="1:6" x14ac:dyDescent="0.2">
      <c r="A598" s="18" t="s">
        <v>376</v>
      </c>
      <c r="B598" s="254" t="s">
        <v>1996</v>
      </c>
      <c r="C598" s="67">
        <v>419.92</v>
      </c>
      <c r="D598" s="67">
        <v>479.56</v>
      </c>
      <c r="E598" s="67">
        <v>0</v>
      </c>
      <c r="F598" s="67">
        <v>0</v>
      </c>
    </row>
    <row r="599" spans="1:6" x14ac:dyDescent="0.2">
      <c r="A599" s="61" t="s">
        <v>1813</v>
      </c>
      <c r="B599" s="254" t="s">
        <v>2014</v>
      </c>
      <c r="C599" s="67">
        <v>0</v>
      </c>
      <c r="D599" s="67">
        <v>0</v>
      </c>
      <c r="E599" s="67">
        <v>500</v>
      </c>
      <c r="F599" s="67">
        <v>500</v>
      </c>
    </row>
    <row r="600" spans="1:6" x14ac:dyDescent="0.2">
      <c r="A600" s="18" t="s">
        <v>377</v>
      </c>
      <c r="B600" s="254" t="s">
        <v>1899</v>
      </c>
      <c r="C600" s="67">
        <v>136</v>
      </c>
      <c r="D600" s="67">
        <v>0</v>
      </c>
      <c r="E600" s="67">
        <v>500</v>
      </c>
      <c r="F600" s="67">
        <v>500</v>
      </c>
    </row>
    <row r="601" spans="1:6" x14ac:dyDescent="0.2">
      <c r="A601" s="18" t="s">
        <v>380</v>
      </c>
      <c r="B601" s="254" t="s">
        <v>1900</v>
      </c>
      <c r="C601" s="67">
        <v>0</v>
      </c>
      <c r="D601" s="67">
        <v>0</v>
      </c>
      <c r="E601" s="67">
        <v>50</v>
      </c>
      <c r="F601" s="67">
        <v>50</v>
      </c>
    </row>
    <row r="602" spans="1:6" x14ac:dyDescent="0.2">
      <c r="A602" s="18" t="s">
        <v>381</v>
      </c>
      <c r="B602" s="254" t="s">
        <v>1973</v>
      </c>
      <c r="C602" s="67">
        <v>1299.51</v>
      </c>
      <c r="D602" s="67">
        <v>219.9</v>
      </c>
      <c r="E602" s="67">
        <v>2500</v>
      </c>
      <c r="F602" s="67">
        <v>2500</v>
      </c>
    </row>
    <row r="603" spans="1:6" x14ac:dyDescent="0.2">
      <c r="A603" s="18" t="s">
        <v>379</v>
      </c>
      <c r="B603" s="254" t="s">
        <v>1901</v>
      </c>
      <c r="C603" s="67">
        <v>480</v>
      </c>
      <c r="D603" s="67">
        <v>480</v>
      </c>
      <c r="E603" s="67">
        <v>480</v>
      </c>
      <c r="F603" s="67">
        <v>480</v>
      </c>
    </row>
    <row r="604" spans="1:6" x14ac:dyDescent="0.2">
      <c r="A604" s="18" t="s">
        <v>382</v>
      </c>
      <c r="B604" s="254" t="s">
        <v>1902</v>
      </c>
      <c r="C604" s="67">
        <v>919.55</v>
      </c>
      <c r="D604" s="67">
        <v>150.41</v>
      </c>
      <c r="E604" s="67">
        <v>1425</v>
      </c>
      <c r="F604" s="67">
        <v>1425</v>
      </c>
    </row>
    <row r="605" spans="1:6" x14ac:dyDescent="0.2">
      <c r="A605" s="18" t="s">
        <v>383</v>
      </c>
      <c r="B605" s="254" t="s">
        <v>1979</v>
      </c>
      <c r="C605" s="67">
        <v>0</v>
      </c>
      <c r="D605" s="67">
        <v>0</v>
      </c>
      <c r="E605" s="67">
        <v>200</v>
      </c>
      <c r="F605" s="67">
        <v>200</v>
      </c>
    </row>
    <row r="606" spans="1:6" x14ac:dyDescent="0.2">
      <c r="A606" s="18" t="s">
        <v>384</v>
      </c>
      <c r="B606" s="254" t="s">
        <v>1976</v>
      </c>
      <c r="C606" s="67">
        <v>340.5</v>
      </c>
      <c r="D606" s="67">
        <v>190.22</v>
      </c>
      <c r="E606" s="67">
        <v>500</v>
      </c>
      <c r="F606" s="67">
        <v>600</v>
      </c>
    </row>
    <row r="607" spans="1:6" x14ac:dyDescent="0.2">
      <c r="A607" s="18" t="s">
        <v>385</v>
      </c>
      <c r="B607" s="254" t="s">
        <v>1903</v>
      </c>
      <c r="C607" s="67">
        <v>0</v>
      </c>
      <c r="D607" s="67">
        <v>0</v>
      </c>
      <c r="E607" s="67">
        <v>0</v>
      </c>
      <c r="F607" s="67">
        <v>178</v>
      </c>
    </row>
    <row r="608" spans="1:6" x14ac:dyDescent="0.2">
      <c r="A608" s="18" t="s">
        <v>386</v>
      </c>
      <c r="B608" s="254" t="s">
        <v>1904</v>
      </c>
      <c r="C608" s="34">
        <v>0</v>
      </c>
      <c r="D608" s="34">
        <v>0</v>
      </c>
      <c r="E608" s="34">
        <v>1500</v>
      </c>
      <c r="F608" s="34">
        <v>1500</v>
      </c>
    </row>
    <row r="609" spans="1:6" x14ac:dyDescent="0.2">
      <c r="A609" s="61" t="s">
        <v>1791</v>
      </c>
      <c r="B609" s="254" t="s">
        <v>2005</v>
      </c>
      <c r="C609" s="34">
        <v>26963.57</v>
      </c>
      <c r="D609" s="34">
        <v>0</v>
      </c>
      <c r="E609" s="34">
        <v>0</v>
      </c>
      <c r="F609" s="34">
        <v>0</v>
      </c>
    </row>
    <row r="610" spans="1:6" x14ac:dyDescent="0.2">
      <c r="A610" s="18"/>
      <c r="B610" s="6" t="s">
        <v>1099</v>
      </c>
      <c r="C610" s="69">
        <f>SUM(C592:C609)</f>
        <v>80338.830000000016</v>
      </c>
      <c r="D610" s="87">
        <f>SUM(D592:D609)</f>
        <v>53789.38</v>
      </c>
      <c r="E610" s="69">
        <f>SUM(E592:E609)</f>
        <v>61650</v>
      </c>
      <c r="F610" s="69">
        <f>SUM(F592:F609)</f>
        <v>63639</v>
      </c>
    </row>
    <row r="611" spans="1:6" x14ac:dyDescent="0.2">
      <c r="A611" s="18"/>
      <c r="B611" s="6"/>
      <c r="C611" s="72"/>
      <c r="D611" s="54"/>
      <c r="E611" s="72"/>
      <c r="F611" s="72"/>
    </row>
    <row r="612" spans="1:6" x14ac:dyDescent="0.2">
      <c r="A612" s="59" t="s">
        <v>387</v>
      </c>
      <c r="B612" s="4" t="s">
        <v>603</v>
      </c>
    </row>
    <row r="613" spans="1:6" x14ac:dyDescent="0.2">
      <c r="A613" s="18" t="s">
        <v>388</v>
      </c>
      <c r="B613" s="254" t="s">
        <v>1888</v>
      </c>
      <c r="C613" s="74">
        <v>34816.080000000002</v>
      </c>
      <c r="D613" s="82">
        <v>35616.1</v>
      </c>
      <c r="E613" s="74">
        <v>36416</v>
      </c>
      <c r="F613" s="74">
        <v>37616</v>
      </c>
    </row>
    <row r="614" spans="1:6" x14ac:dyDescent="0.2">
      <c r="A614" s="18" t="s">
        <v>570</v>
      </c>
      <c r="B614" s="254" t="s">
        <v>1893</v>
      </c>
      <c r="C614" s="67">
        <v>717.63</v>
      </c>
      <c r="D614" s="67">
        <v>1008.44</v>
      </c>
      <c r="E614" s="67">
        <v>1080</v>
      </c>
      <c r="F614" s="67">
        <v>1140</v>
      </c>
    </row>
    <row r="615" spans="1:6" x14ac:dyDescent="0.2">
      <c r="A615" s="18" t="s">
        <v>571</v>
      </c>
      <c r="B615" s="254" t="s">
        <v>1895</v>
      </c>
      <c r="C615" s="67">
        <v>2667.21</v>
      </c>
      <c r="D615" s="67">
        <v>2750.94</v>
      </c>
      <c r="E615" s="67">
        <v>2905</v>
      </c>
      <c r="F615" s="67">
        <v>3002</v>
      </c>
    </row>
    <row r="616" spans="1:6" x14ac:dyDescent="0.2">
      <c r="A616" s="18" t="s">
        <v>572</v>
      </c>
      <c r="B616" s="254" t="s">
        <v>1896</v>
      </c>
      <c r="C616" s="67">
        <v>4161.6400000000003</v>
      </c>
      <c r="D616" s="67">
        <v>4346.46</v>
      </c>
      <c r="E616" s="67">
        <v>4612</v>
      </c>
      <c r="F616" s="67">
        <v>4821</v>
      </c>
    </row>
    <row r="617" spans="1:6" x14ac:dyDescent="0.2">
      <c r="A617" s="18" t="s">
        <v>573</v>
      </c>
      <c r="B617" s="254" t="s">
        <v>1897</v>
      </c>
      <c r="C617" s="67">
        <v>6960</v>
      </c>
      <c r="D617" s="67">
        <v>7765</v>
      </c>
      <c r="E617" s="67">
        <v>7878</v>
      </c>
      <c r="F617" s="67">
        <v>7878</v>
      </c>
    </row>
    <row r="618" spans="1:6" x14ac:dyDescent="0.2">
      <c r="A618" s="18" t="s">
        <v>574</v>
      </c>
      <c r="B618" s="254" t="s">
        <v>1996</v>
      </c>
      <c r="C618" s="67">
        <v>269.75</v>
      </c>
      <c r="D618" s="67">
        <v>392.91</v>
      </c>
      <c r="E618" s="67">
        <v>0</v>
      </c>
      <c r="F618" s="67">
        <v>0</v>
      </c>
    </row>
    <row r="619" spans="1:6" x14ac:dyDescent="0.2">
      <c r="A619" s="61" t="s">
        <v>1814</v>
      </c>
      <c r="B619" s="254" t="s">
        <v>2014</v>
      </c>
      <c r="C619" s="67">
        <v>0</v>
      </c>
      <c r="D619" s="67">
        <v>0</v>
      </c>
      <c r="E619" s="67">
        <v>500</v>
      </c>
      <c r="F619" s="67">
        <v>500</v>
      </c>
    </row>
    <row r="620" spans="1:6" x14ac:dyDescent="0.2">
      <c r="A620" s="18" t="s">
        <v>575</v>
      </c>
      <c r="B620" s="254" t="s">
        <v>1899</v>
      </c>
      <c r="C620" s="67">
        <v>17.760000000000002</v>
      </c>
      <c r="D620" s="67">
        <v>477.37</v>
      </c>
      <c r="E620" s="67">
        <v>500</v>
      </c>
      <c r="F620" s="67">
        <v>500</v>
      </c>
    </row>
    <row r="621" spans="1:6" x14ac:dyDescent="0.2">
      <c r="A621" s="18" t="s">
        <v>576</v>
      </c>
      <c r="B621" s="254" t="s">
        <v>1900</v>
      </c>
      <c r="C621" s="67">
        <v>0</v>
      </c>
      <c r="D621" s="67">
        <v>0</v>
      </c>
      <c r="E621" s="67">
        <v>50</v>
      </c>
      <c r="F621" s="67">
        <v>50</v>
      </c>
    </row>
    <row r="622" spans="1:6" x14ac:dyDescent="0.2">
      <c r="A622" s="18" t="s">
        <v>1281</v>
      </c>
      <c r="B622" s="254" t="s">
        <v>1973</v>
      </c>
      <c r="C622" s="67">
        <v>815.59</v>
      </c>
      <c r="D622" s="67">
        <v>563.85</v>
      </c>
      <c r="E622" s="67">
        <v>1500</v>
      </c>
      <c r="F622" s="67">
        <v>1500</v>
      </c>
    </row>
    <row r="623" spans="1:6" x14ac:dyDescent="0.2">
      <c r="A623" s="18" t="s">
        <v>1280</v>
      </c>
      <c r="B623" s="254" t="s">
        <v>1901</v>
      </c>
      <c r="C623" s="67">
        <v>480</v>
      </c>
      <c r="D623" s="67">
        <v>480</v>
      </c>
      <c r="E623" s="67">
        <v>480</v>
      </c>
      <c r="F623" s="67">
        <v>480</v>
      </c>
    </row>
    <row r="624" spans="1:6" x14ac:dyDescent="0.2">
      <c r="A624" s="18" t="s">
        <v>1282</v>
      </c>
      <c r="B624" s="254" t="s">
        <v>1902</v>
      </c>
      <c r="C624" s="34">
        <v>60</v>
      </c>
      <c r="D624" s="34">
        <v>60</v>
      </c>
      <c r="E624" s="34">
        <v>1425</v>
      </c>
      <c r="F624" s="34">
        <v>1425</v>
      </c>
    </row>
    <row r="625" spans="1:6" x14ac:dyDescent="0.2">
      <c r="A625" s="18" t="s">
        <v>1649</v>
      </c>
      <c r="B625" s="254" t="s">
        <v>1979</v>
      </c>
      <c r="C625" s="34">
        <v>18.28</v>
      </c>
      <c r="D625" s="34">
        <v>73.3</v>
      </c>
      <c r="E625" s="34">
        <v>200</v>
      </c>
      <c r="F625" s="34">
        <v>200</v>
      </c>
    </row>
    <row r="626" spans="1:6" x14ac:dyDescent="0.2">
      <c r="A626" s="18" t="s">
        <v>1283</v>
      </c>
      <c r="B626" s="254" t="s">
        <v>1976</v>
      </c>
      <c r="C626" s="67">
        <v>164.45</v>
      </c>
      <c r="D626" s="67">
        <v>1837.42</v>
      </c>
      <c r="E626" s="67">
        <v>1500</v>
      </c>
      <c r="F626" s="67">
        <v>2000</v>
      </c>
    </row>
    <row r="627" spans="1:6" x14ac:dyDescent="0.2">
      <c r="A627" s="18" t="s">
        <v>1284</v>
      </c>
      <c r="B627" s="254" t="s">
        <v>1903</v>
      </c>
      <c r="C627" s="34">
        <v>0</v>
      </c>
      <c r="D627" s="34">
        <v>0</v>
      </c>
      <c r="E627" s="34">
        <v>0</v>
      </c>
      <c r="F627" s="34">
        <v>178</v>
      </c>
    </row>
    <row r="628" spans="1:6" x14ac:dyDescent="0.2">
      <c r="A628" s="18" t="s">
        <v>1285</v>
      </c>
      <c r="B628" s="254" t="s">
        <v>1904</v>
      </c>
      <c r="C628" s="67">
        <v>0</v>
      </c>
      <c r="D628" s="67">
        <v>0</v>
      </c>
      <c r="E628" s="67">
        <v>2000</v>
      </c>
      <c r="F628" s="67">
        <v>1500</v>
      </c>
    </row>
    <row r="629" spans="1:6" x14ac:dyDescent="0.2">
      <c r="A629" s="18" t="s">
        <v>1286</v>
      </c>
      <c r="B629" s="254" t="s">
        <v>2005</v>
      </c>
      <c r="C629" s="67">
        <v>0</v>
      </c>
      <c r="D629" s="67">
        <v>0</v>
      </c>
      <c r="E629" s="67">
        <v>0</v>
      </c>
      <c r="F629" s="67">
        <v>0</v>
      </c>
    </row>
    <row r="630" spans="1:6" x14ac:dyDescent="0.2">
      <c r="A630" s="18"/>
      <c r="B630" s="6" t="s">
        <v>1099</v>
      </c>
      <c r="C630" s="69">
        <f>SUM(C613:C629)</f>
        <v>51148.389999999992</v>
      </c>
      <c r="D630" s="87">
        <f>SUM(D613:D629)</f>
        <v>55371.790000000008</v>
      </c>
      <c r="E630" s="69">
        <f>SUM(E613:E629)</f>
        <v>61046</v>
      </c>
      <c r="F630" s="69">
        <f>SUM(F613:F629)</f>
        <v>62790</v>
      </c>
    </row>
    <row r="631" spans="1:6" x14ac:dyDescent="0.2">
      <c r="A631" s="18"/>
      <c r="B631" s="4" t="s">
        <v>638</v>
      </c>
      <c r="C631" s="75" t="s">
        <v>1410</v>
      </c>
      <c r="D631" s="230" t="s">
        <v>1410</v>
      </c>
      <c r="E631" s="75" t="s">
        <v>1410</v>
      </c>
      <c r="F631" s="75" t="s">
        <v>1410</v>
      </c>
    </row>
    <row r="632" spans="1:6" x14ac:dyDescent="0.2">
      <c r="A632" s="18"/>
      <c r="B632" s="4" t="s">
        <v>963</v>
      </c>
      <c r="C632" s="75" t="s">
        <v>1410</v>
      </c>
      <c r="D632" s="230" t="s">
        <v>1410</v>
      </c>
      <c r="E632" s="75" t="s">
        <v>1410</v>
      </c>
      <c r="F632" s="75" t="s">
        <v>1410</v>
      </c>
    </row>
    <row r="633" spans="1:6" x14ac:dyDescent="0.2">
      <c r="A633" s="18"/>
      <c r="B633" s="4" t="s">
        <v>130</v>
      </c>
      <c r="C633" s="75" t="s">
        <v>1410</v>
      </c>
      <c r="D633" s="230" t="s">
        <v>1410</v>
      </c>
      <c r="E633" s="75" t="s">
        <v>1410</v>
      </c>
      <c r="F633" s="75" t="s">
        <v>1410</v>
      </c>
    </row>
    <row r="634" spans="1:6" x14ac:dyDescent="0.2">
      <c r="A634" s="18"/>
      <c r="C634" s="77" t="str">
        <f>+$C$4</f>
        <v>2018 ACTUAL</v>
      </c>
      <c r="D634" s="266" t="str">
        <f>+D$4</f>
        <v>2019 ACTUAL</v>
      </c>
      <c r="E634" s="77" t="str">
        <f>+E$4</f>
        <v>2020 BUDGET</v>
      </c>
      <c r="F634" s="77" t="str">
        <f>+F$4</f>
        <v>2021 BUDGET</v>
      </c>
    </row>
    <row r="635" spans="1:6" x14ac:dyDescent="0.2">
      <c r="A635" s="59" t="s">
        <v>1287</v>
      </c>
      <c r="B635" s="4" t="s">
        <v>604</v>
      </c>
      <c r="C635" s="72"/>
      <c r="D635" s="54"/>
      <c r="E635" s="72"/>
      <c r="F635" s="72"/>
    </row>
    <row r="636" spans="1:6" x14ac:dyDescent="0.2">
      <c r="A636" s="18" t="s">
        <v>1288</v>
      </c>
      <c r="B636" s="254" t="s">
        <v>1888</v>
      </c>
      <c r="C636" s="74">
        <v>34816.080000000002</v>
      </c>
      <c r="D636" s="82">
        <v>35616.1</v>
      </c>
      <c r="E636" s="74">
        <v>36416</v>
      </c>
      <c r="F636" s="74">
        <v>37616</v>
      </c>
    </row>
    <row r="637" spans="1:6" x14ac:dyDescent="0.2">
      <c r="A637" s="18" t="s">
        <v>1289</v>
      </c>
      <c r="B637" s="254" t="s">
        <v>1893</v>
      </c>
      <c r="C637" s="82">
        <v>0</v>
      </c>
      <c r="D637" s="82">
        <v>0</v>
      </c>
      <c r="E637" s="82">
        <v>0</v>
      </c>
      <c r="F637" s="82">
        <v>180</v>
      </c>
    </row>
    <row r="638" spans="1:6" x14ac:dyDescent="0.2">
      <c r="A638" s="18" t="s">
        <v>1290</v>
      </c>
      <c r="B638" s="254" t="s">
        <v>1961</v>
      </c>
      <c r="C638" s="67">
        <v>1999.92</v>
      </c>
      <c r="D638" s="67">
        <v>1999.92</v>
      </c>
      <c r="E638" s="67">
        <v>2000</v>
      </c>
      <c r="F638" s="67">
        <v>2000</v>
      </c>
    </row>
    <row r="639" spans="1:6" x14ac:dyDescent="0.2">
      <c r="A639" s="18" t="s">
        <v>1291</v>
      </c>
      <c r="B639" s="254" t="s">
        <v>1895</v>
      </c>
      <c r="C639" s="67">
        <v>2790.64</v>
      </c>
      <c r="D639" s="67">
        <v>2851.76</v>
      </c>
      <c r="E639" s="67">
        <v>2976</v>
      </c>
      <c r="F639" s="67">
        <v>3081</v>
      </c>
    </row>
    <row r="640" spans="1:6" x14ac:dyDescent="0.2">
      <c r="A640" s="18" t="s">
        <v>1292</v>
      </c>
      <c r="B640" s="254" t="s">
        <v>1896</v>
      </c>
      <c r="C640" s="67">
        <v>4311.5</v>
      </c>
      <c r="D640" s="67">
        <v>4462.82</v>
      </c>
      <c r="E640" s="67">
        <v>4725</v>
      </c>
      <c r="F640" s="67">
        <v>4951</v>
      </c>
    </row>
    <row r="641" spans="1:6" x14ac:dyDescent="0.2">
      <c r="A641" s="18" t="s">
        <v>1293</v>
      </c>
      <c r="B641" s="254" t="s">
        <v>1897</v>
      </c>
      <c r="C641" s="67">
        <v>6960</v>
      </c>
      <c r="D641" s="67">
        <v>7765</v>
      </c>
      <c r="E641" s="67">
        <v>7878</v>
      </c>
      <c r="F641" s="67">
        <v>7878</v>
      </c>
    </row>
    <row r="642" spans="1:6" x14ac:dyDescent="0.2">
      <c r="A642" s="18" t="s">
        <v>1294</v>
      </c>
      <c r="B642" s="254" t="s">
        <v>1996</v>
      </c>
      <c r="C642" s="67">
        <v>310.95</v>
      </c>
      <c r="D642" s="67">
        <v>474.75</v>
      </c>
      <c r="E642" s="67">
        <v>0</v>
      </c>
      <c r="F642" s="67">
        <v>0</v>
      </c>
    </row>
    <row r="643" spans="1:6" x14ac:dyDescent="0.2">
      <c r="A643" s="61" t="s">
        <v>1815</v>
      </c>
      <c r="B643" s="254" t="s">
        <v>2014</v>
      </c>
      <c r="C643" s="67">
        <v>0</v>
      </c>
      <c r="D643" s="67">
        <v>0</v>
      </c>
      <c r="E643" s="67">
        <v>500</v>
      </c>
      <c r="F643" s="67">
        <v>500</v>
      </c>
    </row>
    <row r="644" spans="1:6" x14ac:dyDescent="0.2">
      <c r="A644" s="18" t="s">
        <v>1295</v>
      </c>
      <c r="B644" s="254" t="s">
        <v>1899</v>
      </c>
      <c r="C644" s="67">
        <v>196.13</v>
      </c>
      <c r="D644" s="67">
        <v>433.54</v>
      </c>
      <c r="E644" s="67">
        <v>500</v>
      </c>
      <c r="F644" s="67">
        <v>400</v>
      </c>
    </row>
    <row r="645" spans="1:6" x14ac:dyDescent="0.2">
      <c r="A645" s="18" t="s">
        <v>782</v>
      </c>
      <c r="B645" s="254" t="s">
        <v>1900</v>
      </c>
      <c r="C645" s="67">
        <v>0</v>
      </c>
      <c r="D645" s="67">
        <v>0</v>
      </c>
      <c r="E645" s="67">
        <v>50</v>
      </c>
      <c r="F645" s="67">
        <v>50</v>
      </c>
    </row>
    <row r="646" spans="1:6" x14ac:dyDescent="0.2">
      <c r="A646" s="18" t="s">
        <v>1297</v>
      </c>
      <c r="B646" s="254" t="s">
        <v>1973</v>
      </c>
      <c r="C646" s="67">
        <v>2253.08</v>
      </c>
      <c r="D646" s="67">
        <v>2168.04</v>
      </c>
      <c r="E646" s="67">
        <v>2500</v>
      </c>
      <c r="F646" s="67">
        <v>2500</v>
      </c>
    </row>
    <row r="647" spans="1:6" x14ac:dyDescent="0.2">
      <c r="A647" s="18" t="s">
        <v>1296</v>
      </c>
      <c r="B647" s="254" t="s">
        <v>1901</v>
      </c>
      <c r="C647" s="67">
        <v>480</v>
      </c>
      <c r="D647" s="67">
        <v>480</v>
      </c>
      <c r="E647" s="67">
        <v>480</v>
      </c>
      <c r="F647" s="67">
        <v>480</v>
      </c>
    </row>
    <row r="648" spans="1:6" x14ac:dyDescent="0.2">
      <c r="A648" s="18" t="s">
        <v>1298</v>
      </c>
      <c r="B648" s="254" t="s">
        <v>1902</v>
      </c>
      <c r="C648" s="67">
        <v>572.83000000000004</v>
      </c>
      <c r="D648" s="67">
        <v>625.58000000000004</v>
      </c>
      <c r="E648" s="67">
        <v>1425</v>
      </c>
      <c r="F648" s="67">
        <v>1425</v>
      </c>
    </row>
    <row r="649" spans="1:6" x14ac:dyDescent="0.2">
      <c r="A649" s="18" t="s">
        <v>1650</v>
      </c>
      <c r="B649" s="254" t="s">
        <v>1979</v>
      </c>
      <c r="C649" s="67">
        <v>0</v>
      </c>
      <c r="D649" s="67">
        <v>68.7</v>
      </c>
      <c r="E649" s="67">
        <v>1600</v>
      </c>
      <c r="F649" s="67">
        <v>800</v>
      </c>
    </row>
    <row r="650" spans="1:6" x14ac:dyDescent="0.2">
      <c r="A650" s="18" t="s">
        <v>1299</v>
      </c>
      <c r="B650" s="254" t="s">
        <v>1976</v>
      </c>
      <c r="C650" s="67">
        <v>74.260000000000005</v>
      </c>
      <c r="D650" s="67">
        <v>74.23</v>
      </c>
      <c r="E650" s="67">
        <v>500</v>
      </c>
      <c r="F650" s="67">
        <v>600</v>
      </c>
    </row>
    <row r="651" spans="1:6" x14ac:dyDescent="0.2">
      <c r="A651" s="18" t="s">
        <v>1300</v>
      </c>
      <c r="B651" s="254" t="s">
        <v>1903</v>
      </c>
      <c r="C651" s="67">
        <v>0</v>
      </c>
      <c r="D651" s="67">
        <v>0</v>
      </c>
      <c r="E651" s="67">
        <v>0</v>
      </c>
      <c r="F651" s="67">
        <v>178</v>
      </c>
    </row>
    <row r="652" spans="1:6" x14ac:dyDescent="0.2">
      <c r="A652" s="18" t="s">
        <v>1301</v>
      </c>
      <c r="B652" s="254" t="s">
        <v>1904</v>
      </c>
      <c r="C652" s="67">
        <v>0</v>
      </c>
      <c r="D652" s="67">
        <v>0</v>
      </c>
      <c r="E652" s="67">
        <v>3200</v>
      </c>
      <c r="F652" s="67">
        <v>1000</v>
      </c>
    </row>
    <row r="653" spans="1:6" x14ac:dyDescent="0.2">
      <c r="A653" s="61" t="s">
        <v>1792</v>
      </c>
      <c r="B653" s="254" t="s">
        <v>2005</v>
      </c>
      <c r="C653" s="67">
        <v>24937.279999999999</v>
      </c>
      <c r="D653" s="67">
        <v>0</v>
      </c>
      <c r="E653" s="67">
        <v>0</v>
      </c>
      <c r="F653" s="67">
        <v>0</v>
      </c>
    </row>
    <row r="654" spans="1:6" x14ac:dyDescent="0.2">
      <c r="A654" s="18"/>
      <c r="B654" s="6" t="s">
        <v>1099</v>
      </c>
      <c r="C654" s="69">
        <f>SUM(C636:C653)</f>
        <v>79702.67</v>
      </c>
      <c r="D654" s="87">
        <f>SUM(D636:D653)</f>
        <v>57020.44</v>
      </c>
      <c r="E654" s="69">
        <f>SUM(E636:E653)</f>
        <v>64750</v>
      </c>
      <c r="F654" s="69">
        <f>SUM(F636:F653)</f>
        <v>63639</v>
      </c>
    </row>
    <row r="655" spans="1:6" x14ac:dyDescent="0.2">
      <c r="A655" s="18"/>
      <c r="B655" s="6"/>
      <c r="C655" s="66"/>
      <c r="E655" s="66"/>
      <c r="F655" s="66"/>
    </row>
    <row r="656" spans="1:6" x14ac:dyDescent="0.2">
      <c r="A656" s="59" t="s">
        <v>1302</v>
      </c>
      <c r="B656" s="4" t="s">
        <v>605</v>
      </c>
    </row>
    <row r="657" spans="1:6" x14ac:dyDescent="0.2">
      <c r="A657" s="18" t="s">
        <v>1303</v>
      </c>
      <c r="B657" s="254" t="s">
        <v>1888</v>
      </c>
      <c r="C657" s="74">
        <v>34816.080000000002</v>
      </c>
      <c r="D657" s="82">
        <v>35616.1</v>
      </c>
      <c r="E657" s="74">
        <v>36416</v>
      </c>
      <c r="F657" s="74">
        <v>37616</v>
      </c>
    </row>
    <row r="658" spans="1:6" x14ac:dyDescent="0.2">
      <c r="A658" s="18" t="s">
        <v>1304</v>
      </c>
      <c r="B658" s="254" t="s">
        <v>1893</v>
      </c>
      <c r="C658" s="82">
        <v>0</v>
      </c>
      <c r="D658" s="82">
        <v>0</v>
      </c>
      <c r="E658" s="82">
        <v>0</v>
      </c>
      <c r="F658" s="82">
        <v>180</v>
      </c>
    </row>
    <row r="659" spans="1:6" x14ac:dyDescent="0.2">
      <c r="A659" s="18" t="s">
        <v>1305</v>
      </c>
      <c r="B659" s="254" t="s">
        <v>1961</v>
      </c>
      <c r="C659" s="67">
        <v>1999.92</v>
      </c>
      <c r="D659" s="67">
        <v>1999.92</v>
      </c>
      <c r="E659" s="67">
        <v>2000</v>
      </c>
      <c r="F659" s="67">
        <v>2000</v>
      </c>
    </row>
    <row r="660" spans="1:6" x14ac:dyDescent="0.2">
      <c r="A660" s="18" t="s">
        <v>1306</v>
      </c>
      <c r="B660" s="254" t="s">
        <v>1895</v>
      </c>
      <c r="C660" s="67">
        <v>2491.1799999999998</v>
      </c>
      <c r="D660" s="67">
        <v>2441.34</v>
      </c>
      <c r="E660" s="67">
        <v>2976</v>
      </c>
      <c r="F660" s="67">
        <v>3081</v>
      </c>
    </row>
    <row r="661" spans="1:6" x14ac:dyDescent="0.2">
      <c r="A661" s="18" t="s">
        <v>1307</v>
      </c>
      <c r="B661" s="254" t="s">
        <v>1896</v>
      </c>
      <c r="C661" s="67">
        <v>4311.5</v>
      </c>
      <c r="D661" s="67">
        <v>4462.82</v>
      </c>
      <c r="E661" s="67">
        <v>4725</v>
      </c>
      <c r="F661" s="67">
        <v>4951</v>
      </c>
    </row>
    <row r="662" spans="1:6" x14ac:dyDescent="0.2">
      <c r="A662" s="18" t="s">
        <v>418</v>
      </c>
      <c r="B662" s="254" t="s">
        <v>1897</v>
      </c>
      <c r="C662" s="67">
        <v>6960</v>
      </c>
      <c r="D662" s="67">
        <v>7765</v>
      </c>
      <c r="E662" s="67">
        <v>7878</v>
      </c>
      <c r="F662" s="67">
        <v>7878</v>
      </c>
    </row>
    <row r="663" spans="1:6" x14ac:dyDescent="0.2">
      <c r="A663" s="18" t="s">
        <v>419</v>
      </c>
      <c r="B663" s="254" t="s">
        <v>1996</v>
      </c>
      <c r="C663" s="34">
        <v>264.43</v>
      </c>
      <c r="D663" s="34">
        <v>389.24</v>
      </c>
      <c r="E663" s="34">
        <v>0</v>
      </c>
      <c r="F663" s="34">
        <v>0</v>
      </c>
    </row>
    <row r="664" spans="1:6" x14ac:dyDescent="0.2">
      <c r="A664" s="61" t="s">
        <v>1816</v>
      </c>
      <c r="B664" s="254" t="s">
        <v>2014</v>
      </c>
      <c r="C664" s="67">
        <v>0</v>
      </c>
      <c r="D664" s="67">
        <v>0</v>
      </c>
      <c r="E664" s="67">
        <v>500</v>
      </c>
      <c r="F664" s="67">
        <v>500</v>
      </c>
    </row>
    <row r="665" spans="1:6" x14ac:dyDescent="0.2">
      <c r="A665" s="18" t="s">
        <v>420</v>
      </c>
      <c r="B665" s="254" t="s">
        <v>1899</v>
      </c>
      <c r="C665" s="67">
        <v>134.97</v>
      </c>
      <c r="D665" s="67">
        <v>333.88</v>
      </c>
      <c r="E665" s="67">
        <v>500</v>
      </c>
      <c r="F665" s="67">
        <v>500</v>
      </c>
    </row>
    <row r="666" spans="1:6" ht="12.75" customHeight="1" x14ac:dyDescent="0.2">
      <c r="A666" s="18" t="s">
        <v>422</v>
      </c>
      <c r="B666" s="254" t="s">
        <v>1900</v>
      </c>
      <c r="C666" s="67">
        <v>20</v>
      </c>
      <c r="D666" s="67">
        <v>22</v>
      </c>
      <c r="E666" s="67">
        <v>150</v>
      </c>
      <c r="F666" s="67">
        <v>100</v>
      </c>
    </row>
    <row r="667" spans="1:6" ht="12.75" customHeight="1" x14ac:dyDescent="0.2">
      <c r="A667" s="18" t="s">
        <v>423</v>
      </c>
      <c r="B667" s="254" t="s">
        <v>1973</v>
      </c>
      <c r="C667" s="67">
        <v>1436.83</v>
      </c>
      <c r="D667" s="67">
        <v>1585.31</v>
      </c>
      <c r="E667" s="67">
        <v>2500</v>
      </c>
      <c r="F667" s="67">
        <v>2000</v>
      </c>
    </row>
    <row r="668" spans="1:6" x14ac:dyDescent="0.2">
      <c r="A668" s="18" t="s">
        <v>421</v>
      </c>
      <c r="B668" s="254" t="s">
        <v>1901</v>
      </c>
      <c r="C668" s="67">
        <v>480</v>
      </c>
      <c r="D668" s="67">
        <v>480</v>
      </c>
      <c r="E668" s="67">
        <v>480</v>
      </c>
      <c r="F668" s="67">
        <v>480</v>
      </c>
    </row>
    <row r="669" spans="1:6" x14ac:dyDescent="0.2">
      <c r="A669" s="18" t="s">
        <v>424</v>
      </c>
      <c r="B669" s="254" t="s">
        <v>1902</v>
      </c>
      <c r="C669" s="67">
        <v>1177.24</v>
      </c>
      <c r="D669" s="67">
        <v>359.88</v>
      </c>
      <c r="E669" s="67">
        <v>1425</v>
      </c>
      <c r="F669" s="67">
        <v>1425</v>
      </c>
    </row>
    <row r="670" spans="1:6" x14ac:dyDescent="0.2">
      <c r="A670" s="18" t="s">
        <v>747</v>
      </c>
      <c r="B670" s="254" t="s">
        <v>1979</v>
      </c>
      <c r="C670" s="67">
        <v>0</v>
      </c>
      <c r="D670" s="67">
        <v>0</v>
      </c>
      <c r="E670" s="67">
        <v>200</v>
      </c>
      <c r="F670" s="67">
        <v>100</v>
      </c>
    </row>
    <row r="671" spans="1:6" x14ac:dyDescent="0.2">
      <c r="A671" s="18" t="s">
        <v>1231</v>
      </c>
      <c r="B671" s="254" t="s">
        <v>1976</v>
      </c>
      <c r="C671" s="67">
        <v>761.96</v>
      </c>
      <c r="D671" s="67">
        <v>201.6</v>
      </c>
      <c r="E671" s="67">
        <v>750</v>
      </c>
      <c r="F671" s="67">
        <v>1000</v>
      </c>
    </row>
    <row r="672" spans="1:6" x14ac:dyDescent="0.2">
      <c r="A672" s="18" t="s">
        <v>1232</v>
      </c>
      <c r="B672" s="254" t="s">
        <v>1903</v>
      </c>
      <c r="C672" s="34">
        <v>0</v>
      </c>
      <c r="D672" s="34">
        <v>0</v>
      </c>
      <c r="E672" s="34">
        <v>0</v>
      </c>
      <c r="F672" s="34">
        <v>178</v>
      </c>
    </row>
    <row r="673" spans="1:6" x14ac:dyDescent="0.2">
      <c r="A673" s="18" t="s">
        <v>1234</v>
      </c>
      <c r="B673" s="254" t="s">
        <v>1904</v>
      </c>
      <c r="C673" s="67">
        <v>0</v>
      </c>
      <c r="D673" s="67">
        <v>0</v>
      </c>
      <c r="E673" s="67">
        <v>500</v>
      </c>
      <c r="F673" s="67">
        <v>800</v>
      </c>
    </row>
    <row r="674" spans="1:6" x14ac:dyDescent="0.2">
      <c r="A674" s="18" t="s">
        <v>1233</v>
      </c>
      <c r="B674" s="254" t="s">
        <v>2005</v>
      </c>
      <c r="C674" s="67">
        <v>27204.57</v>
      </c>
      <c r="D674" s="67">
        <v>0</v>
      </c>
      <c r="E674" s="67">
        <v>0</v>
      </c>
      <c r="F674" s="67">
        <v>0</v>
      </c>
    </row>
    <row r="675" spans="1:6" x14ac:dyDescent="0.2">
      <c r="A675" s="18"/>
      <c r="B675" s="6" t="s">
        <v>1099</v>
      </c>
      <c r="C675" s="69">
        <f>SUM(C657:C674)</f>
        <v>82058.679999999993</v>
      </c>
      <c r="D675" s="87">
        <f>SUM(D657:D674)</f>
        <v>55657.089999999989</v>
      </c>
      <c r="E675" s="69">
        <f>SUM(E657:E674)</f>
        <v>61000</v>
      </c>
      <c r="F675" s="69">
        <f>SUM(F657:F674)</f>
        <v>62789</v>
      </c>
    </row>
    <row r="676" spans="1:6" x14ac:dyDescent="0.2">
      <c r="A676" s="18"/>
      <c r="B676" s="4" t="s">
        <v>638</v>
      </c>
      <c r="C676" s="75" t="s">
        <v>1410</v>
      </c>
      <c r="D676" s="230" t="s">
        <v>1410</v>
      </c>
      <c r="E676" s="75" t="s">
        <v>1410</v>
      </c>
      <c r="F676" s="75" t="s">
        <v>1410</v>
      </c>
    </row>
    <row r="677" spans="1:6" x14ac:dyDescent="0.2">
      <c r="A677" s="18"/>
      <c r="B677" s="4" t="s">
        <v>963</v>
      </c>
      <c r="C677" s="75" t="s">
        <v>1410</v>
      </c>
      <c r="D677" s="230" t="s">
        <v>1410</v>
      </c>
      <c r="E677" s="75" t="s">
        <v>1410</v>
      </c>
      <c r="F677" s="75" t="s">
        <v>1410</v>
      </c>
    </row>
    <row r="678" spans="1:6" x14ac:dyDescent="0.2">
      <c r="A678" s="18"/>
      <c r="B678" s="4" t="s">
        <v>130</v>
      </c>
      <c r="C678" s="75" t="s">
        <v>1410</v>
      </c>
      <c r="D678" s="230" t="s">
        <v>1410</v>
      </c>
      <c r="E678" s="75" t="s">
        <v>1410</v>
      </c>
      <c r="F678" s="75" t="s">
        <v>1410</v>
      </c>
    </row>
    <row r="679" spans="1:6" x14ac:dyDescent="0.2">
      <c r="A679" s="18"/>
      <c r="C679" s="77" t="str">
        <f>+$C$4</f>
        <v>2018 ACTUAL</v>
      </c>
      <c r="D679" s="266" t="str">
        <f>+D$4</f>
        <v>2019 ACTUAL</v>
      </c>
      <c r="E679" s="77" t="str">
        <f>+E$4</f>
        <v>2020 BUDGET</v>
      </c>
      <c r="F679" s="77" t="str">
        <f>+F$4</f>
        <v>2021 BUDGET</v>
      </c>
    </row>
    <row r="680" spans="1:6" x14ac:dyDescent="0.2">
      <c r="A680" s="59" t="s">
        <v>1235</v>
      </c>
      <c r="B680" s="4" t="s">
        <v>606</v>
      </c>
    </row>
    <row r="681" spans="1:6" x14ac:dyDescent="0.2">
      <c r="A681" s="18" t="s">
        <v>1236</v>
      </c>
      <c r="B681" s="254" t="s">
        <v>1888</v>
      </c>
      <c r="C681" s="66">
        <v>69862</v>
      </c>
      <c r="D681" s="67">
        <v>70662.02</v>
      </c>
      <c r="E681" s="66">
        <v>71462</v>
      </c>
      <c r="F681" s="66">
        <v>72662</v>
      </c>
    </row>
    <row r="682" spans="1:6" x14ac:dyDescent="0.2">
      <c r="A682" s="18" t="s">
        <v>1237</v>
      </c>
      <c r="B682" s="254" t="s">
        <v>1905</v>
      </c>
      <c r="C682" s="80">
        <v>1709037</v>
      </c>
      <c r="D682" s="34">
        <v>1779251</v>
      </c>
      <c r="E682" s="80">
        <f>1919173-E681</f>
        <v>1847711</v>
      </c>
      <c r="F682" s="80">
        <f>2010946-F681</f>
        <v>1938284</v>
      </c>
    </row>
    <row r="683" spans="1:6" x14ac:dyDescent="0.2">
      <c r="A683" s="18" t="s">
        <v>1238</v>
      </c>
      <c r="B683" s="254" t="s">
        <v>1908</v>
      </c>
      <c r="C683" s="67">
        <v>437375.29</v>
      </c>
      <c r="D683" s="67">
        <v>461243.97</v>
      </c>
      <c r="E683" s="67">
        <v>467184</v>
      </c>
      <c r="F683" s="67">
        <v>481151</v>
      </c>
    </row>
    <row r="684" spans="1:6" x14ac:dyDescent="0.2">
      <c r="A684" s="18" t="s">
        <v>1239</v>
      </c>
      <c r="B684" s="254" t="s">
        <v>2026</v>
      </c>
      <c r="C684" s="67">
        <v>639.58000000000004</v>
      </c>
      <c r="D684" s="67">
        <v>-4095.25</v>
      </c>
      <c r="E684" s="67">
        <v>7000</v>
      </c>
      <c r="F684" s="67">
        <v>7000</v>
      </c>
    </row>
    <row r="685" spans="1:6" x14ac:dyDescent="0.2">
      <c r="A685" s="18" t="s">
        <v>1249</v>
      </c>
      <c r="B685" s="254" t="s">
        <v>2046</v>
      </c>
      <c r="C685" s="67">
        <v>37351.58</v>
      </c>
      <c r="D685" s="67">
        <v>55459.55</v>
      </c>
      <c r="E685" s="67">
        <f>122220-81000</f>
        <v>41220</v>
      </c>
      <c r="F685" s="67">
        <v>124047</v>
      </c>
    </row>
    <row r="686" spans="1:6" x14ac:dyDescent="0.2">
      <c r="A686" s="18" t="s">
        <v>1241</v>
      </c>
      <c r="B686" s="254" t="s">
        <v>1893</v>
      </c>
      <c r="C686" s="67">
        <v>16792.93</v>
      </c>
      <c r="D686" s="67">
        <v>24824.400000000001</v>
      </c>
      <c r="E686" s="67">
        <f>21600+4680+300</f>
        <v>26580</v>
      </c>
      <c r="F686" s="67">
        <f>1380+4260+20340</f>
        <v>25980</v>
      </c>
    </row>
    <row r="687" spans="1:6" x14ac:dyDescent="0.2">
      <c r="A687" s="18" t="s">
        <v>1240</v>
      </c>
      <c r="B687" s="254" t="s">
        <v>1961</v>
      </c>
      <c r="C687" s="34">
        <v>43138.62</v>
      </c>
      <c r="D687" s="34">
        <v>42731.43</v>
      </c>
      <c r="E687" s="34">
        <f>1400+3400+39400</f>
        <v>44200</v>
      </c>
      <c r="F687" s="34">
        <f>5000+42400+4000</f>
        <v>51400</v>
      </c>
    </row>
    <row r="688" spans="1:6" x14ac:dyDescent="0.2">
      <c r="A688" s="18" t="s">
        <v>1242</v>
      </c>
      <c r="B688" s="254" t="s">
        <v>1895</v>
      </c>
      <c r="C688" s="34">
        <v>174257.6</v>
      </c>
      <c r="D688" s="34">
        <v>183185.94</v>
      </c>
      <c r="E688" s="34">
        <f>152683+36358+9517</f>
        <v>198558</v>
      </c>
      <c r="F688" s="34">
        <f>159592+37516+9938</f>
        <v>207046</v>
      </c>
    </row>
    <row r="689" spans="1:6" x14ac:dyDescent="0.2">
      <c r="A689" s="18" t="s">
        <v>1243</v>
      </c>
      <c r="B689" s="254" t="s">
        <v>1896</v>
      </c>
      <c r="C689" s="34">
        <v>278061.53999999998</v>
      </c>
      <c r="D689" s="34">
        <v>298849.5</v>
      </c>
      <c r="E689" s="34">
        <f>243955+58457+15242</f>
        <v>317654</v>
      </c>
      <c r="F689" s="34">
        <f>257967+61007+16101</f>
        <v>335075</v>
      </c>
    </row>
    <row r="690" spans="1:6" x14ac:dyDescent="0.2">
      <c r="A690" s="18" t="s">
        <v>1244</v>
      </c>
      <c r="B690" s="254" t="s">
        <v>1897</v>
      </c>
      <c r="C690" s="34">
        <v>346308.68</v>
      </c>
      <c r="D690" s="34">
        <v>390445.5</v>
      </c>
      <c r="E690" s="34">
        <f>304200+3443+117000+1174+15600+235</f>
        <v>441652</v>
      </c>
      <c r="F690" s="34">
        <f>319800+3521+109200+1174+15600+235</f>
        <v>449530</v>
      </c>
    </row>
    <row r="691" spans="1:6" x14ac:dyDescent="0.2">
      <c r="A691" s="18" t="s">
        <v>1246</v>
      </c>
      <c r="B691" s="254" t="s">
        <v>1996</v>
      </c>
      <c r="C691" s="67">
        <v>20889.07</v>
      </c>
      <c r="D691" s="67">
        <v>24122.77</v>
      </c>
      <c r="E691" s="67">
        <v>20000</v>
      </c>
      <c r="F691" s="67">
        <v>20000</v>
      </c>
    </row>
    <row r="692" spans="1:6" x14ac:dyDescent="0.2">
      <c r="A692" s="18" t="s">
        <v>1245</v>
      </c>
      <c r="B692" s="254" t="s">
        <v>2014</v>
      </c>
      <c r="C692" s="67">
        <v>7760</v>
      </c>
      <c r="D692" s="67">
        <v>7780</v>
      </c>
      <c r="E692" s="67">
        <v>8320</v>
      </c>
      <c r="F692" s="67">
        <v>8320</v>
      </c>
    </row>
    <row r="693" spans="1:6" x14ac:dyDescent="0.2">
      <c r="A693" s="18" t="s">
        <v>1251</v>
      </c>
      <c r="B693" s="254" t="s">
        <v>1899</v>
      </c>
      <c r="C693" s="34">
        <v>18455.740000000002</v>
      </c>
      <c r="D693" s="34">
        <v>19520.62</v>
      </c>
      <c r="E693" s="34">
        <v>21000</v>
      </c>
      <c r="F693" s="34">
        <v>16000</v>
      </c>
    </row>
    <row r="694" spans="1:6" x14ac:dyDescent="0.2">
      <c r="A694" s="18" t="s">
        <v>1252</v>
      </c>
      <c r="B694" s="254" t="s">
        <v>1900</v>
      </c>
      <c r="C694" s="67">
        <v>9832.24</v>
      </c>
      <c r="D694" s="67">
        <v>10071.040000000001</v>
      </c>
      <c r="E694" s="67">
        <v>11000</v>
      </c>
      <c r="F694" s="67">
        <v>11000</v>
      </c>
    </row>
    <row r="695" spans="1:6" x14ac:dyDescent="0.2">
      <c r="A695" s="18" t="s">
        <v>1253</v>
      </c>
      <c r="B695" s="254" t="s">
        <v>2015</v>
      </c>
      <c r="C695" s="34">
        <v>1732.88</v>
      </c>
      <c r="D695" s="34">
        <v>2882.07</v>
      </c>
      <c r="E695" s="34">
        <v>10000</v>
      </c>
      <c r="F695" s="34">
        <v>5000</v>
      </c>
    </row>
    <row r="696" spans="1:6" x14ac:dyDescent="0.2">
      <c r="A696" s="18" t="s">
        <v>1254</v>
      </c>
      <c r="B696" s="254" t="s">
        <v>1973</v>
      </c>
      <c r="C696" s="34">
        <v>171017.8</v>
      </c>
      <c r="D696" s="34">
        <v>160829.51</v>
      </c>
      <c r="E696" s="34">
        <v>180000</v>
      </c>
      <c r="F696" s="34">
        <v>165000</v>
      </c>
    </row>
    <row r="697" spans="1:6" x14ac:dyDescent="0.2">
      <c r="A697" s="18" t="s">
        <v>1255</v>
      </c>
      <c r="B697" s="254" t="s">
        <v>2016</v>
      </c>
      <c r="C697" s="34">
        <v>14097.23</v>
      </c>
      <c r="D697" s="34">
        <v>19698.490000000002</v>
      </c>
      <c r="E697" s="34">
        <v>20000</v>
      </c>
      <c r="F697" s="34">
        <v>25000</v>
      </c>
    </row>
    <row r="698" spans="1:6" x14ac:dyDescent="0.2">
      <c r="A698" s="18" t="s">
        <v>1256</v>
      </c>
      <c r="B698" s="254" t="s">
        <v>2017</v>
      </c>
      <c r="C698" s="34">
        <v>5762.96</v>
      </c>
      <c r="D698" s="34">
        <v>5432.86</v>
      </c>
      <c r="E698" s="34">
        <v>6000</v>
      </c>
      <c r="F698" s="34">
        <v>6000</v>
      </c>
    </row>
    <row r="699" spans="1:6" x14ac:dyDescent="0.2">
      <c r="A699" s="18" t="s">
        <v>759</v>
      </c>
      <c r="B699" s="254" t="s">
        <v>2018</v>
      </c>
      <c r="C699" s="34">
        <v>0</v>
      </c>
      <c r="D699" s="34">
        <v>3336</v>
      </c>
      <c r="E699" s="34">
        <v>8000</v>
      </c>
      <c r="F699" s="34">
        <v>8000</v>
      </c>
    </row>
    <row r="700" spans="1:6" x14ac:dyDescent="0.2">
      <c r="A700" s="18" t="s">
        <v>1257</v>
      </c>
      <c r="B700" s="254" t="s">
        <v>1974</v>
      </c>
      <c r="C700" s="34">
        <v>12379.81</v>
      </c>
      <c r="D700" s="34">
        <v>21995.43</v>
      </c>
      <c r="E700" s="34">
        <v>24000</v>
      </c>
      <c r="F700" s="34">
        <v>19000</v>
      </c>
    </row>
    <row r="701" spans="1:6" x14ac:dyDescent="0.2">
      <c r="A701" s="18" t="s">
        <v>1258</v>
      </c>
      <c r="B701" s="254" t="s">
        <v>1901</v>
      </c>
      <c r="C701" s="34">
        <v>11680</v>
      </c>
      <c r="D701" s="34">
        <v>11920</v>
      </c>
      <c r="E701" s="34">
        <f>12480+480</f>
        <v>12960</v>
      </c>
      <c r="F701" s="34">
        <f>12480+480</f>
        <v>12960</v>
      </c>
    </row>
    <row r="702" spans="1:6" x14ac:dyDescent="0.2">
      <c r="A702" s="18" t="s">
        <v>1259</v>
      </c>
      <c r="B702" s="254" t="s">
        <v>2019</v>
      </c>
      <c r="C702" s="34">
        <v>13198.74</v>
      </c>
      <c r="D702" s="34">
        <v>5788.09</v>
      </c>
      <c r="E702" s="34">
        <v>14000</v>
      </c>
      <c r="F702" s="34">
        <v>14000</v>
      </c>
    </row>
    <row r="703" spans="1:6" x14ac:dyDescent="0.2">
      <c r="A703" s="18" t="s">
        <v>1260</v>
      </c>
      <c r="B703" s="254" t="s">
        <v>1902</v>
      </c>
      <c r="C703" s="34">
        <v>21469.91</v>
      </c>
      <c r="D703" s="34">
        <v>20888.54</v>
      </c>
      <c r="E703" s="34">
        <v>35800</v>
      </c>
      <c r="F703" s="34">
        <v>30500</v>
      </c>
    </row>
    <row r="704" spans="1:6" x14ac:dyDescent="0.2">
      <c r="A704" s="18" t="s">
        <v>1261</v>
      </c>
      <c r="B704" s="254" t="s">
        <v>1976</v>
      </c>
      <c r="C704" s="34">
        <v>103504.03</v>
      </c>
      <c r="D704" s="34">
        <v>84920.33</v>
      </c>
      <c r="E704" s="34">
        <v>100000</v>
      </c>
      <c r="F704" s="34">
        <v>55000</v>
      </c>
    </row>
    <row r="705" spans="1:7" x14ac:dyDescent="0.2">
      <c r="A705" s="18" t="s">
        <v>1262</v>
      </c>
      <c r="B705" s="254" t="s">
        <v>2020</v>
      </c>
      <c r="C705" s="34">
        <v>25815.56</v>
      </c>
      <c r="D705" s="34">
        <v>24683.53</v>
      </c>
      <c r="E705" s="34">
        <v>25000</v>
      </c>
      <c r="F705" s="34">
        <v>25000</v>
      </c>
    </row>
    <row r="706" spans="1:7" x14ac:dyDescent="0.2">
      <c r="A706" s="18" t="s">
        <v>1263</v>
      </c>
      <c r="B706" s="254" t="s">
        <v>1903</v>
      </c>
      <c r="C706" s="34">
        <v>0</v>
      </c>
      <c r="D706" s="34">
        <v>0</v>
      </c>
      <c r="E706" s="34">
        <v>0</v>
      </c>
      <c r="F706" s="34">
        <v>533</v>
      </c>
    </row>
    <row r="707" spans="1:7" x14ac:dyDescent="0.2">
      <c r="A707" s="18" t="s">
        <v>1264</v>
      </c>
      <c r="B707" s="265" t="s">
        <v>1882</v>
      </c>
      <c r="C707" s="34">
        <v>13156.21</v>
      </c>
      <c r="D707" s="34">
        <v>9885.7199999999993</v>
      </c>
      <c r="E707" s="34">
        <v>13000</v>
      </c>
      <c r="F707" s="34">
        <v>7000</v>
      </c>
    </row>
    <row r="708" spans="1:7" x14ac:dyDescent="0.2">
      <c r="A708" s="18" t="s">
        <v>1265</v>
      </c>
      <c r="B708" s="254" t="s">
        <v>1904</v>
      </c>
      <c r="C708" s="34">
        <v>41835.14</v>
      </c>
      <c r="D708" s="34">
        <v>37330.26</v>
      </c>
      <c r="E708" s="34">
        <v>65000</v>
      </c>
      <c r="F708" s="34">
        <v>80000</v>
      </c>
    </row>
    <row r="709" spans="1:7" x14ac:dyDescent="0.2">
      <c r="A709" s="18" t="s">
        <v>654</v>
      </c>
      <c r="B709" s="254" t="s">
        <v>2021</v>
      </c>
      <c r="C709" s="34">
        <v>10788.72</v>
      </c>
      <c r="D709" s="34">
        <v>10917.96</v>
      </c>
      <c r="E709" s="34">
        <v>12122</v>
      </c>
      <c r="F709" s="34">
        <v>9000</v>
      </c>
      <c r="G709" s="244"/>
    </row>
    <row r="710" spans="1:7" x14ac:dyDescent="0.2">
      <c r="A710" s="18" t="s">
        <v>165</v>
      </c>
      <c r="B710" s="254" t="s">
        <v>2022</v>
      </c>
      <c r="C710" s="34">
        <v>17.98</v>
      </c>
      <c r="D710" s="34">
        <v>384.92</v>
      </c>
      <c r="E710" s="34">
        <v>1000</v>
      </c>
      <c r="F710" s="34">
        <v>1000</v>
      </c>
      <c r="G710" s="244"/>
    </row>
    <row r="711" spans="1:7" x14ac:dyDescent="0.2">
      <c r="A711" s="18" t="s">
        <v>1266</v>
      </c>
      <c r="B711" s="254" t="s">
        <v>2005</v>
      </c>
      <c r="C711" s="34">
        <v>138996.10999999999</v>
      </c>
      <c r="D711" s="34">
        <v>195682</v>
      </c>
      <c r="E711" s="34">
        <v>210988</v>
      </c>
      <c r="F711" s="34">
        <v>0</v>
      </c>
      <c r="G711" s="244"/>
    </row>
    <row r="712" spans="1:7" x14ac:dyDescent="0.2">
      <c r="A712" s="18" t="s">
        <v>1314</v>
      </c>
      <c r="B712" s="254" t="s">
        <v>2023</v>
      </c>
      <c r="C712" s="34">
        <v>3879.02</v>
      </c>
      <c r="D712" s="34">
        <v>12118.9</v>
      </c>
      <c r="E712" s="34">
        <v>12000</v>
      </c>
      <c r="F712" s="34">
        <v>14000</v>
      </c>
      <c r="G712" s="244"/>
    </row>
    <row r="713" spans="1:7" x14ac:dyDescent="0.2">
      <c r="A713" s="18" t="s">
        <v>1267</v>
      </c>
      <c r="B713" s="254" t="s">
        <v>2024</v>
      </c>
      <c r="C713" s="34">
        <v>46190.79</v>
      </c>
      <c r="D713" s="34">
        <v>42089.69</v>
      </c>
      <c r="E713" s="34">
        <v>30000</v>
      </c>
      <c r="F713" s="34">
        <v>25000</v>
      </c>
    </row>
    <row r="714" spans="1:7" x14ac:dyDescent="0.2">
      <c r="A714" s="18" t="s">
        <v>11</v>
      </c>
      <c r="B714" s="254" t="s">
        <v>2025</v>
      </c>
      <c r="C714" s="34">
        <v>0</v>
      </c>
      <c r="D714" s="34">
        <v>0</v>
      </c>
      <c r="E714" s="34">
        <v>0</v>
      </c>
      <c r="F714" s="34">
        <v>0</v>
      </c>
      <c r="G714" s="105"/>
    </row>
    <row r="715" spans="1:7" x14ac:dyDescent="0.2">
      <c r="A715" s="18" t="s">
        <v>2319</v>
      </c>
      <c r="B715" s="254" t="s">
        <v>2317</v>
      </c>
      <c r="C715" s="34">
        <v>0</v>
      </c>
      <c r="D715" s="34">
        <v>0</v>
      </c>
      <c r="E715" s="34">
        <v>0</v>
      </c>
      <c r="F715" s="34">
        <v>333464</v>
      </c>
    </row>
    <row r="716" spans="1:7" x14ac:dyDescent="0.2">
      <c r="A716" s="18"/>
      <c r="B716" s="6" t="s">
        <v>1099</v>
      </c>
      <c r="C716" s="87">
        <f t="shared" ref="C716:F716" si="7">SUM(C681:C715)</f>
        <v>3805284.7600000012</v>
      </c>
      <c r="D716" s="87">
        <f t="shared" si="7"/>
        <v>4034836.79</v>
      </c>
      <c r="E716" s="87">
        <f t="shared" si="7"/>
        <v>4303411</v>
      </c>
      <c r="F716" s="87">
        <f t="shared" si="7"/>
        <v>4582952</v>
      </c>
    </row>
    <row r="717" spans="1:7" x14ac:dyDescent="0.2">
      <c r="A717" s="18"/>
      <c r="B717" s="4" t="s">
        <v>638</v>
      </c>
      <c r="C717" s="75" t="s">
        <v>1410</v>
      </c>
      <c r="D717" s="230"/>
      <c r="E717" s="75" t="s">
        <v>1410</v>
      </c>
      <c r="F717" s="75" t="s">
        <v>1410</v>
      </c>
      <c r="G717" s="286"/>
    </row>
    <row r="718" spans="1:7" x14ac:dyDescent="0.2">
      <c r="A718" s="18"/>
      <c r="B718" s="4" t="s">
        <v>963</v>
      </c>
      <c r="C718" s="75" t="s">
        <v>1410</v>
      </c>
      <c r="D718" s="230"/>
      <c r="E718" s="75" t="s">
        <v>1410</v>
      </c>
      <c r="F718" s="230"/>
      <c r="G718" s="286"/>
    </row>
    <row r="719" spans="1:7" x14ac:dyDescent="0.2">
      <c r="A719" s="18"/>
      <c r="B719" s="4" t="s">
        <v>130</v>
      </c>
      <c r="C719" s="75" t="s">
        <v>1410</v>
      </c>
      <c r="D719" s="230" t="s">
        <v>1410</v>
      </c>
      <c r="E719" s="75" t="s">
        <v>1410</v>
      </c>
      <c r="F719" s="75" t="s">
        <v>1410</v>
      </c>
    </row>
    <row r="720" spans="1:7" x14ac:dyDescent="0.2">
      <c r="A720" s="18"/>
      <c r="C720" s="77" t="str">
        <f>+$C$4</f>
        <v>2018 ACTUAL</v>
      </c>
      <c r="D720" s="266" t="str">
        <f>+D$4</f>
        <v>2019 ACTUAL</v>
      </c>
      <c r="E720" s="77" t="str">
        <f>+E$4</f>
        <v>2020 BUDGET</v>
      </c>
      <c r="F720" s="77" t="str">
        <f>+F$4</f>
        <v>2021 BUDGET</v>
      </c>
    </row>
    <row r="721" spans="1:6" x14ac:dyDescent="0.2">
      <c r="A721" s="59" t="s">
        <v>783</v>
      </c>
      <c r="B721" s="4" t="s">
        <v>748</v>
      </c>
    </row>
    <row r="722" spans="1:6" x14ac:dyDescent="0.2">
      <c r="A722" s="18" t="s">
        <v>785</v>
      </c>
      <c r="B722" s="254" t="s">
        <v>2026</v>
      </c>
      <c r="C722" s="66">
        <v>21379.67</v>
      </c>
      <c r="D722" s="67">
        <v>14341.78</v>
      </c>
      <c r="E722" s="66">
        <v>4186</v>
      </c>
      <c r="F722" s="66">
        <v>15000</v>
      </c>
    </row>
    <row r="723" spans="1:6" x14ac:dyDescent="0.2">
      <c r="A723" s="79" t="s">
        <v>1315</v>
      </c>
      <c r="B723" s="265" t="s">
        <v>2027</v>
      </c>
      <c r="C723" s="34">
        <v>0</v>
      </c>
      <c r="D723" s="34">
        <v>0</v>
      </c>
      <c r="E723" s="34">
        <v>0</v>
      </c>
      <c r="F723" s="34">
        <v>21571</v>
      </c>
    </row>
    <row r="724" spans="1:6" x14ac:dyDescent="0.2">
      <c r="A724" s="18" t="s">
        <v>784</v>
      </c>
      <c r="B724" s="254" t="s">
        <v>2028</v>
      </c>
      <c r="C724" s="86">
        <v>884968.01</v>
      </c>
      <c r="D724" s="34">
        <v>895474.33</v>
      </c>
      <c r="E724" s="86">
        <v>857157</v>
      </c>
      <c r="F724" s="86">
        <f>906482-F723</f>
        <v>884911</v>
      </c>
    </row>
    <row r="725" spans="1:6" x14ac:dyDescent="0.2">
      <c r="A725" s="79" t="s">
        <v>786</v>
      </c>
      <c r="B725" s="254" t="s">
        <v>1893</v>
      </c>
      <c r="C725" s="81">
        <v>2926.22</v>
      </c>
      <c r="D725" s="67">
        <v>5069.88</v>
      </c>
      <c r="E725" s="81">
        <v>5580</v>
      </c>
      <c r="F725" s="81">
        <v>5520</v>
      </c>
    </row>
    <row r="726" spans="1:6" x14ac:dyDescent="0.2">
      <c r="A726" s="79" t="s">
        <v>787</v>
      </c>
      <c r="B726" s="254" t="s">
        <v>1961</v>
      </c>
      <c r="C726" s="81">
        <v>5599.88</v>
      </c>
      <c r="D726" s="67">
        <v>6515.33</v>
      </c>
      <c r="E726" s="81">
        <v>5600</v>
      </c>
      <c r="F726" s="81">
        <v>5600</v>
      </c>
    </row>
    <row r="727" spans="1:6" x14ac:dyDescent="0.2">
      <c r="A727" s="79" t="s">
        <v>788</v>
      </c>
      <c r="B727" s="254" t="s">
        <v>1895</v>
      </c>
      <c r="C727" s="86">
        <v>66416.149999999994</v>
      </c>
      <c r="D727" s="34">
        <v>67925.27</v>
      </c>
      <c r="E727" s="86">
        <v>66483</v>
      </c>
      <c r="F727" s="86">
        <v>70252</v>
      </c>
    </row>
    <row r="728" spans="1:6" x14ac:dyDescent="0.2">
      <c r="A728" s="79" t="s">
        <v>789</v>
      </c>
      <c r="B728" s="254" t="s">
        <v>1896</v>
      </c>
      <c r="C728" s="86">
        <v>98903.74</v>
      </c>
      <c r="D728" s="34">
        <v>108565</v>
      </c>
      <c r="E728" s="86">
        <v>106805</v>
      </c>
      <c r="F728" s="86">
        <v>114150</v>
      </c>
    </row>
    <row r="729" spans="1:6" x14ac:dyDescent="0.2">
      <c r="A729" s="79" t="s">
        <v>790</v>
      </c>
      <c r="B729" s="254" t="s">
        <v>1897</v>
      </c>
      <c r="C729" s="86">
        <v>125756.59</v>
      </c>
      <c r="D729" s="34">
        <v>128430</v>
      </c>
      <c r="E729" s="86">
        <f>179400+2034</f>
        <v>181434</v>
      </c>
      <c r="F729" s="86">
        <f>163800+2034</f>
        <v>165834</v>
      </c>
    </row>
    <row r="730" spans="1:6" x14ac:dyDescent="0.2">
      <c r="A730" s="79" t="s">
        <v>791</v>
      </c>
      <c r="B730" s="265" t="s">
        <v>1996</v>
      </c>
      <c r="C730" s="81">
        <v>3819.2</v>
      </c>
      <c r="D730" s="67">
        <v>4750.62</v>
      </c>
      <c r="E730" s="81">
        <v>5000</v>
      </c>
      <c r="F730" s="81">
        <v>5000</v>
      </c>
    </row>
    <row r="731" spans="1:6" x14ac:dyDescent="0.2">
      <c r="A731" s="79" t="s">
        <v>792</v>
      </c>
      <c r="B731" s="265" t="s">
        <v>1899</v>
      </c>
      <c r="C731" s="81">
        <v>2967.24</v>
      </c>
      <c r="D731" s="67">
        <v>4298.22</v>
      </c>
      <c r="E731" s="81">
        <v>3500</v>
      </c>
      <c r="F731" s="81">
        <v>4000</v>
      </c>
    </row>
    <row r="732" spans="1:6" x14ac:dyDescent="0.2">
      <c r="A732" s="79" t="s">
        <v>793</v>
      </c>
      <c r="B732" s="265" t="s">
        <v>1900</v>
      </c>
      <c r="C732" s="81">
        <v>0</v>
      </c>
      <c r="D732" s="67">
        <v>0</v>
      </c>
      <c r="E732" s="81">
        <v>100</v>
      </c>
      <c r="F732" s="81">
        <v>100</v>
      </c>
    </row>
    <row r="733" spans="1:6" x14ac:dyDescent="0.2">
      <c r="A733" s="79" t="s">
        <v>794</v>
      </c>
      <c r="B733" s="265" t="s">
        <v>2029</v>
      </c>
      <c r="C733" s="86">
        <v>61563.54</v>
      </c>
      <c r="D733" s="34">
        <v>54820.15</v>
      </c>
      <c r="E733" s="86">
        <v>52000</v>
      </c>
      <c r="F733" s="86">
        <v>52000</v>
      </c>
    </row>
    <row r="734" spans="1:6" x14ac:dyDescent="0.2">
      <c r="A734" s="79" t="s">
        <v>795</v>
      </c>
      <c r="B734" s="265" t="s">
        <v>2030</v>
      </c>
      <c r="C734" s="86">
        <v>175320.73</v>
      </c>
      <c r="D734" s="34">
        <v>194479.71</v>
      </c>
      <c r="E734" s="86">
        <v>175000</v>
      </c>
      <c r="F734" s="86">
        <v>195000</v>
      </c>
    </row>
    <row r="735" spans="1:6" x14ac:dyDescent="0.2">
      <c r="A735" s="79" t="s">
        <v>796</v>
      </c>
      <c r="B735" s="265" t="s">
        <v>2031</v>
      </c>
      <c r="C735" s="86">
        <v>3264.71</v>
      </c>
      <c r="D735" s="34">
        <v>2496.2199999999998</v>
      </c>
      <c r="E735" s="86">
        <v>4000</v>
      </c>
      <c r="F735" s="86">
        <v>4000</v>
      </c>
    </row>
    <row r="736" spans="1:6" x14ac:dyDescent="0.2">
      <c r="A736" s="79" t="s">
        <v>797</v>
      </c>
      <c r="B736" s="265" t="s">
        <v>2016</v>
      </c>
      <c r="C736" s="86">
        <v>0</v>
      </c>
      <c r="D736" s="34">
        <v>0</v>
      </c>
      <c r="E736" s="86">
        <v>300</v>
      </c>
      <c r="F736" s="86">
        <v>300</v>
      </c>
    </row>
    <row r="737" spans="1:6" x14ac:dyDescent="0.2">
      <c r="A737" s="79" t="s">
        <v>78</v>
      </c>
      <c r="B737" s="254" t="s">
        <v>1901</v>
      </c>
      <c r="C737" s="86">
        <v>720</v>
      </c>
      <c r="D737" s="34">
        <v>720</v>
      </c>
      <c r="E737" s="86">
        <v>720</v>
      </c>
      <c r="F737" s="86">
        <v>720</v>
      </c>
    </row>
    <row r="738" spans="1:6" x14ac:dyDescent="0.2">
      <c r="A738" s="79" t="s">
        <v>1467</v>
      </c>
      <c r="B738" s="265" t="s">
        <v>1998</v>
      </c>
      <c r="C738" s="86">
        <v>156229.29</v>
      </c>
      <c r="D738" s="34">
        <v>132021.71</v>
      </c>
      <c r="E738" s="86">
        <v>156000</v>
      </c>
      <c r="F738" s="86">
        <v>145000</v>
      </c>
    </row>
    <row r="739" spans="1:6" x14ac:dyDescent="0.2">
      <c r="A739" s="79" t="s">
        <v>798</v>
      </c>
      <c r="B739" s="265" t="s">
        <v>1907</v>
      </c>
      <c r="C739" s="86">
        <v>42398.89</v>
      </c>
      <c r="D739" s="34">
        <v>42736.38</v>
      </c>
      <c r="E739" s="86">
        <v>40000</v>
      </c>
      <c r="F739" s="86">
        <v>40000</v>
      </c>
    </row>
    <row r="740" spans="1:6" x14ac:dyDescent="0.2">
      <c r="A740" s="79" t="s">
        <v>799</v>
      </c>
      <c r="B740" s="265" t="s">
        <v>1904</v>
      </c>
      <c r="C740" s="86">
        <v>3932.24</v>
      </c>
      <c r="D740" s="34">
        <v>8624.81</v>
      </c>
      <c r="E740" s="86">
        <v>7000</v>
      </c>
      <c r="F740" s="86">
        <v>20100</v>
      </c>
    </row>
    <row r="741" spans="1:6" x14ac:dyDescent="0.2">
      <c r="A741" s="18" t="s">
        <v>820</v>
      </c>
      <c r="B741" s="254" t="s">
        <v>2024</v>
      </c>
      <c r="C741" s="86">
        <v>1500.1</v>
      </c>
      <c r="D741" s="34">
        <v>0</v>
      </c>
      <c r="E741" s="86">
        <v>1500</v>
      </c>
      <c r="F741" s="86">
        <v>1500</v>
      </c>
    </row>
    <row r="742" spans="1:6" ht="12.75" customHeight="1" x14ac:dyDescent="0.2">
      <c r="A742" s="18" t="s">
        <v>800</v>
      </c>
      <c r="B742" s="254" t="s">
        <v>2032</v>
      </c>
      <c r="C742" s="86">
        <v>11495.88</v>
      </c>
      <c r="D742" s="34">
        <v>-627.66</v>
      </c>
      <c r="E742" s="86">
        <v>30000</v>
      </c>
      <c r="F742" s="86">
        <v>30000</v>
      </c>
    </row>
    <row r="743" spans="1:6" ht="12.75" customHeight="1" x14ac:dyDescent="0.2">
      <c r="A743" s="18"/>
      <c r="B743" s="6" t="s">
        <v>1099</v>
      </c>
      <c r="C743" s="69">
        <f>SUM(C722:C742)</f>
        <v>1669162.08</v>
      </c>
      <c r="D743" s="87">
        <f>SUM(D722:D742)</f>
        <v>1670641.7499999998</v>
      </c>
      <c r="E743" s="69">
        <f>SUM(E722:E742)</f>
        <v>1702365</v>
      </c>
      <c r="F743" s="69">
        <f>SUM(F722:F742)</f>
        <v>1780558</v>
      </c>
    </row>
    <row r="745" spans="1:6" x14ac:dyDescent="0.2">
      <c r="A745" s="59" t="s">
        <v>1268</v>
      </c>
      <c r="B745" s="4" t="s">
        <v>607</v>
      </c>
    </row>
    <row r="746" spans="1:6" x14ac:dyDescent="0.2">
      <c r="A746" s="18" t="s">
        <v>1071</v>
      </c>
      <c r="B746" s="254" t="s">
        <v>2026</v>
      </c>
      <c r="C746" s="66">
        <v>39153.129999999997</v>
      </c>
      <c r="D746" s="67">
        <v>44541.81</v>
      </c>
      <c r="E746" s="66">
        <v>5814</v>
      </c>
      <c r="F746" s="66">
        <v>45000</v>
      </c>
    </row>
    <row r="747" spans="1:6" x14ac:dyDescent="0.2">
      <c r="A747" s="18" t="s">
        <v>1070</v>
      </c>
      <c r="B747" s="254" t="s">
        <v>2028</v>
      </c>
      <c r="C747" s="86">
        <v>793995.02</v>
      </c>
      <c r="D747" s="34">
        <v>788771.44</v>
      </c>
      <c r="E747" s="86">
        <v>829004</v>
      </c>
      <c r="F747" s="86">
        <v>923240</v>
      </c>
    </row>
    <row r="748" spans="1:6" x14ac:dyDescent="0.2">
      <c r="A748" s="18" t="s">
        <v>1072</v>
      </c>
      <c r="B748" s="254" t="s">
        <v>1893</v>
      </c>
      <c r="C748" s="67">
        <v>4892.2700000000004</v>
      </c>
      <c r="D748" s="67">
        <v>6249.06</v>
      </c>
      <c r="E748" s="67">
        <v>6540</v>
      </c>
      <c r="F748" s="67">
        <v>7560</v>
      </c>
    </row>
    <row r="749" spans="1:6" x14ac:dyDescent="0.2">
      <c r="A749" s="18" t="s">
        <v>1073</v>
      </c>
      <c r="B749" s="254" t="s">
        <v>1961</v>
      </c>
      <c r="C749" s="67">
        <v>8707.68</v>
      </c>
      <c r="D749" s="67">
        <v>5830.74</v>
      </c>
      <c r="E749" s="67">
        <v>5400</v>
      </c>
      <c r="F749" s="67">
        <v>6000</v>
      </c>
    </row>
    <row r="750" spans="1:6" x14ac:dyDescent="0.2">
      <c r="A750" s="18" t="s">
        <v>1074</v>
      </c>
      <c r="B750" s="254" t="s">
        <v>1895</v>
      </c>
      <c r="C750" s="34">
        <v>64106.32</v>
      </c>
      <c r="D750" s="34">
        <v>62943.15</v>
      </c>
      <c r="E750" s="34">
        <v>64387</v>
      </c>
      <c r="F750" s="34">
        <v>71757</v>
      </c>
    </row>
    <row r="751" spans="1:6" x14ac:dyDescent="0.2">
      <c r="A751" s="18" t="s">
        <v>1075</v>
      </c>
      <c r="B751" s="254" t="s">
        <v>1896</v>
      </c>
      <c r="C751" s="34">
        <v>100777.01</v>
      </c>
      <c r="D751" s="34">
        <v>100471.33</v>
      </c>
      <c r="E751" s="34">
        <v>103436</v>
      </c>
      <c r="F751" s="34">
        <v>116538</v>
      </c>
    </row>
    <row r="752" spans="1:6" x14ac:dyDescent="0.2">
      <c r="A752" s="18" t="s">
        <v>1076</v>
      </c>
      <c r="B752" s="254" t="s">
        <v>1897</v>
      </c>
      <c r="C752" s="34">
        <v>121323.41</v>
      </c>
      <c r="D752" s="34">
        <v>132532.29999999999</v>
      </c>
      <c r="E752" s="34">
        <f>171600+1956</f>
        <v>173556</v>
      </c>
      <c r="F752" s="34">
        <f>187200+2112</f>
        <v>189312</v>
      </c>
    </row>
    <row r="753" spans="1:6" x14ac:dyDescent="0.2">
      <c r="A753" s="18" t="s">
        <v>1077</v>
      </c>
      <c r="B753" s="254" t="s">
        <v>1996</v>
      </c>
      <c r="C753" s="67">
        <v>2074.38</v>
      </c>
      <c r="D753" s="67">
        <v>3560.73</v>
      </c>
      <c r="E753" s="67">
        <v>5514</v>
      </c>
      <c r="F753" s="67">
        <v>5514</v>
      </c>
    </row>
    <row r="754" spans="1:6" x14ac:dyDescent="0.2">
      <c r="A754" s="18" t="s">
        <v>1078</v>
      </c>
      <c r="B754" s="254" t="s">
        <v>1899</v>
      </c>
      <c r="C754" s="67">
        <v>7558.71</v>
      </c>
      <c r="D754" s="67">
        <v>8189.02</v>
      </c>
      <c r="E754" s="67">
        <v>8025</v>
      </c>
      <c r="F754" s="67">
        <v>8025</v>
      </c>
    </row>
    <row r="755" spans="1:6" x14ac:dyDescent="0.2">
      <c r="A755" s="18" t="s">
        <v>1079</v>
      </c>
      <c r="B755" s="254" t="s">
        <v>1900</v>
      </c>
      <c r="C755" s="67">
        <v>0</v>
      </c>
      <c r="D755" s="67">
        <v>0</v>
      </c>
      <c r="E755" s="67">
        <v>100</v>
      </c>
      <c r="F755" s="67">
        <v>100</v>
      </c>
    </row>
    <row r="756" spans="1:6" x14ac:dyDescent="0.2">
      <c r="A756" s="18" t="s">
        <v>354</v>
      </c>
      <c r="B756" s="254" t="s">
        <v>2029</v>
      </c>
      <c r="C756" s="34">
        <v>60302.87</v>
      </c>
      <c r="D756" s="34">
        <v>62005</v>
      </c>
      <c r="E756" s="34">
        <v>57000</v>
      </c>
      <c r="F756" s="34">
        <v>60000</v>
      </c>
    </row>
    <row r="757" spans="1:6" x14ac:dyDescent="0.2">
      <c r="A757" s="18" t="s">
        <v>1080</v>
      </c>
      <c r="B757" s="265" t="s">
        <v>2030</v>
      </c>
      <c r="C757" s="34">
        <v>118219.37</v>
      </c>
      <c r="D757" s="34">
        <v>129213.56</v>
      </c>
      <c r="E757" s="34">
        <v>110000</v>
      </c>
      <c r="F757" s="34">
        <v>122000</v>
      </c>
    </row>
    <row r="758" spans="1:6" x14ac:dyDescent="0.2">
      <c r="A758" s="18" t="s">
        <v>1081</v>
      </c>
      <c r="B758" s="254" t="s">
        <v>2031</v>
      </c>
      <c r="C758" s="34">
        <v>8707.1200000000008</v>
      </c>
      <c r="D758" s="34">
        <v>8957.4</v>
      </c>
      <c r="E758" s="34">
        <v>9000</v>
      </c>
      <c r="F758" s="34">
        <v>9000</v>
      </c>
    </row>
    <row r="759" spans="1:6" x14ac:dyDescent="0.2">
      <c r="A759" s="18" t="s">
        <v>1082</v>
      </c>
      <c r="B759" s="254" t="s">
        <v>2016</v>
      </c>
      <c r="C759" s="34">
        <v>1096.47</v>
      </c>
      <c r="D759" s="34">
        <v>0</v>
      </c>
      <c r="E759" s="34">
        <v>1200</v>
      </c>
      <c r="F759" s="34">
        <v>1200</v>
      </c>
    </row>
    <row r="760" spans="1:6" x14ac:dyDescent="0.2">
      <c r="A760" s="129" t="s">
        <v>1355</v>
      </c>
      <c r="B760" s="254" t="s">
        <v>1901</v>
      </c>
      <c r="C760" s="34">
        <v>1080</v>
      </c>
      <c r="D760" s="34">
        <v>720</v>
      </c>
      <c r="E760" s="34">
        <v>720</v>
      </c>
      <c r="F760" s="34">
        <v>1200</v>
      </c>
    </row>
    <row r="761" spans="1:6" x14ac:dyDescent="0.2">
      <c r="A761" s="18" t="s">
        <v>805</v>
      </c>
      <c r="B761" s="254" t="s">
        <v>1902</v>
      </c>
      <c r="C761" s="34">
        <v>0</v>
      </c>
      <c r="D761" s="34">
        <v>0</v>
      </c>
      <c r="E761" s="34">
        <v>1500</v>
      </c>
      <c r="F761" s="34">
        <v>4200</v>
      </c>
    </row>
    <row r="762" spans="1:6" x14ac:dyDescent="0.2">
      <c r="A762" s="79" t="s">
        <v>1468</v>
      </c>
      <c r="B762" s="265" t="s">
        <v>1998</v>
      </c>
      <c r="C762" s="34">
        <v>85570.97</v>
      </c>
      <c r="D762" s="34">
        <v>93971.82</v>
      </c>
      <c r="E762" s="34">
        <v>86000</v>
      </c>
      <c r="F762" s="34">
        <v>90000</v>
      </c>
    </row>
    <row r="763" spans="1:6" x14ac:dyDescent="0.2">
      <c r="A763" s="18" t="s">
        <v>1316</v>
      </c>
      <c r="B763" s="254" t="s">
        <v>2033</v>
      </c>
      <c r="C763" s="34">
        <v>0</v>
      </c>
      <c r="D763" s="34">
        <v>360</v>
      </c>
      <c r="E763" s="34">
        <v>0</v>
      </c>
      <c r="F763" s="34">
        <v>0</v>
      </c>
    </row>
    <row r="764" spans="1:6" x14ac:dyDescent="0.2">
      <c r="A764" s="18" t="s">
        <v>749</v>
      </c>
      <c r="B764" s="254" t="s">
        <v>1976</v>
      </c>
      <c r="C764" s="34">
        <v>1366.61</v>
      </c>
      <c r="D764" s="34">
        <v>3892.66</v>
      </c>
      <c r="E764" s="34">
        <v>5000</v>
      </c>
      <c r="F764" s="34">
        <v>5000</v>
      </c>
    </row>
    <row r="765" spans="1:6" x14ac:dyDescent="0.2">
      <c r="A765" s="18" t="s">
        <v>1083</v>
      </c>
      <c r="B765" s="254" t="s">
        <v>1907</v>
      </c>
      <c r="C765" s="34">
        <v>35038.720000000001</v>
      </c>
      <c r="D765" s="34">
        <v>37258.06</v>
      </c>
      <c r="E765" s="34">
        <v>35000</v>
      </c>
      <c r="F765" s="34">
        <v>35000</v>
      </c>
    </row>
    <row r="766" spans="1:6" x14ac:dyDescent="0.2">
      <c r="A766" s="18" t="s">
        <v>750</v>
      </c>
      <c r="B766" s="254" t="s">
        <v>2034</v>
      </c>
      <c r="C766" s="34">
        <v>2847.9</v>
      </c>
      <c r="D766" s="34">
        <v>343</v>
      </c>
      <c r="E766" s="34">
        <v>2000</v>
      </c>
      <c r="F766" s="34">
        <v>2000</v>
      </c>
    </row>
    <row r="767" spans="1:6" x14ac:dyDescent="0.2">
      <c r="A767" s="18" t="s">
        <v>1085</v>
      </c>
      <c r="B767" s="254" t="s">
        <v>2035</v>
      </c>
      <c r="C767" s="34">
        <v>0</v>
      </c>
      <c r="D767" s="34">
        <v>0</v>
      </c>
      <c r="E767" s="34">
        <v>0</v>
      </c>
      <c r="F767" s="34">
        <v>0</v>
      </c>
    </row>
    <row r="768" spans="1:6" x14ac:dyDescent="0.2">
      <c r="A768" s="18" t="s">
        <v>1084</v>
      </c>
      <c r="B768" s="254" t="s">
        <v>1904</v>
      </c>
      <c r="C768" s="34">
        <v>30335.09</v>
      </c>
      <c r="D768" s="34">
        <v>24913.74</v>
      </c>
      <c r="E768" s="34">
        <v>30000</v>
      </c>
      <c r="F768" s="34">
        <v>25000</v>
      </c>
    </row>
    <row r="769" spans="1:7" x14ac:dyDescent="0.2">
      <c r="A769" s="18" t="s">
        <v>1006</v>
      </c>
      <c r="B769" s="254" t="s">
        <v>2005</v>
      </c>
      <c r="C769" s="34">
        <v>0</v>
      </c>
      <c r="D769" s="34">
        <v>0</v>
      </c>
      <c r="E769" s="34">
        <v>0</v>
      </c>
      <c r="F769" s="34">
        <v>0</v>
      </c>
    </row>
    <row r="770" spans="1:7" x14ac:dyDescent="0.2">
      <c r="A770" s="18" t="s">
        <v>2337</v>
      </c>
      <c r="B770" s="254" t="s">
        <v>2317</v>
      </c>
      <c r="C770" s="34">
        <v>0</v>
      </c>
      <c r="D770" s="34">
        <v>0</v>
      </c>
      <c r="E770" s="34">
        <v>0</v>
      </c>
      <c r="F770" s="34">
        <v>7963.08</v>
      </c>
    </row>
    <row r="771" spans="1:7" x14ac:dyDescent="0.2">
      <c r="A771" s="18" t="s">
        <v>1086</v>
      </c>
      <c r="B771" s="254" t="s">
        <v>2032</v>
      </c>
      <c r="C771" s="34">
        <v>86933.99</v>
      </c>
      <c r="D771" s="34">
        <v>133197.54999999999</v>
      </c>
      <c r="E771" s="34">
        <v>80000</v>
      </c>
      <c r="F771" s="34">
        <v>95000</v>
      </c>
    </row>
    <row r="772" spans="1:7" x14ac:dyDescent="0.2">
      <c r="A772" s="18"/>
      <c r="B772" s="6" t="s">
        <v>1099</v>
      </c>
      <c r="C772" s="87">
        <f t="shared" ref="C772:F772" si="8">SUM(C746:C771)</f>
        <v>1574087.04</v>
      </c>
      <c r="D772" s="87">
        <f t="shared" si="8"/>
        <v>1647922.37</v>
      </c>
      <c r="E772" s="87">
        <f t="shared" si="8"/>
        <v>1619196</v>
      </c>
      <c r="F772" s="87">
        <f t="shared" si="8"/>
        <v>1830609.08</v>
      </c>
      <c r="G772" s="8"/>
    </row>
    <row r="773" spans="1:7" x14ac:dyDescent="0.2">
      <c r="A773" s="18"/>
      <c r="B773" s="4" t="s">
        <v>638</v>
      </c>
      <c r="C773" s="75" t="s">
        <v>1410</v>
      </c>
      <c r="D773" s="230"/>
      <c r="E773" s="75" t="s">
        <v>1410</v>
      </c>
      <c r="F773" s="75" t="s">
        <v>1410</v>
      </c>
    </row>
    <row r="774" spans="1:7" x14ac:dyDescent="0.2">
      <c r="A774" s="18"/>
      <c r="B774" s="4" t="s">
        <v>963</v>
      </c>
      <c r="C774" s="75" t="s">
        <v>1410</v>
      </c>
      <c r="D774" s="230"/>
      <c r="E774" s="75" t="s">
        <v>1410</v>
      </c>
      <c r="F774" s="75" t="s">
        <v>1410</v>
      </c>
    </row>
    <row r="775" spans="1:7" x14ac:dyDescent="0.2">
      <c r="A775" s="18"/>
      <c r="B775" s="4" t="s">
        <v>130</v>
      </c>
      <c r="C775" s="75" t="s">
        <v>1410</v>
      </c>
      <c r="D775" s="230" t="s">
        <v>1410</v>
      </c>
      <c r="E775" s="75" t="s">
        <v>1410</v>
      </c>
      <c r="F775" s="75" t="s">
        <v>1410</v>
      </c>
    </row>
    <row r="776" spans="1:7" x14ac:dyDescent="0.2">
      <c r="A776" s="18"/>
      <c r="C776" s="77" t="str">
        <f>+$C$4</f>
        <v>2018 ACTUAL</v>
      </c>
      <c r="D776" s="266" t="str">
        <f>+D$4</f>
        <v>2019 ACTUAL</v>
      </c>
      <c r="E776" s="77" t="str">
        <f>+E$4</f>
        <v>2020 BUDGET</v>
      </c>
      <c r="F776" s="77" t="str">
        <f>+F$4</f>
        <v>2021 BUDGET</v>
      </c>
    </row>
    <row r="777" spans="1:7" x14ac:dyDescent="0.2">
      <c r="A777" s="59" t="s">
        <v>1087</v>
      </c>
      <c r="B777" s="4" t="s">
        <v>297</v>
      </c>
    </row>
    <row r="778" spans="1:7" x14ac:dyDescent="0.2">
      <c r="A778" s="18" t="s">
        <v>1088</v>
      </c>
      <c r="B778" s="254" t="s">
        <v>1909</v>
      </c>
      <c r="C778" s="66">
        <v>43852.12</v>
      </c>
      <c r="D778" s="67">
        <v>44652.14</v>
      </c>
      <c r="E778" s="66">
        <v>45452</v>
      </c>
      <c r="F778" s="66">
        <v>47668</v>
      </c>
    </row>
    <row r="779" spans="1:7" x14ac:dyDescent="0.2">
      <c r="A779" s="18" t="s">
        <v>1089</v>
      </c>
      <c r="B779" s="254" t="s">
        <v>1908</v>
      </c>
      <c r="C779" s="67">
        <v>26822.12</v>
      </c>
      <c r="D779" s="67">
        <v>27622.14</v>
      </c>
      <c r="E779" s="67">
        <v>29012</v>
      </c>
      <c r="F779" s="67">
        <v>30212</v>
      </c>
    </row>
    <row r="780" spans="1:7" x14ac:dyDescent="0.2">
      <c r="A780" s="18" t="s">
        <v>1090</v>
      </c>
      <c r="B780" s="254" t="s">
        <v>1893</v>
      </c>
      <c r="C780" s="67">
        <v>1497.63</v>
      </c>
      <c r="D780" s="67">
        <v>2307.69</v>
      </c>
      <c r="E780" s="67">
        <v>2400</v>
      </c>
      <c r="F780" s="67">
        <v>2460</v>
      </c>
    </row>
    <row r="781" spans="1:7" x14ac:dyDescent="0.2">
      <c r="A781" s="18" t="s">
        <v>1091</v>
      </c>
      <c r="B781" s="254" t="s">
        <v>1895</v>
      </c>
      <c r="C781" s="67">
        <v>4825.6400000000003</v>
      </c>
      <c r="D781" s="67">
        <v>4964.5600000000004</v>
      </c>
      <c r="E781" s="67">
        <v>5880</v>
      </c>
      <c r="F781" s="67">
        <v>6146</v>
      </c>
    </row>
    <row r="782" spans="1:7" x14ac:dyDescent="0.2">
      <c r="A782" s="18" t="s">
        <v>1093</v>
      </c>
      <c r="B782" s="254" t="s">
        <v>1896</v>
      </c>
      <c r="C782" s="67">
        <v>8452.26</v>
      </c>
      <c r="D782" s="67">
        <v>8852.18</v>
      </c>
      <c r="E782" s="67">
        <v>9454</v>
      </c>
      <c r="F782" s="67">
        <v>9994</v>
      </c>
    </row>
    <row r="783" spans="1:7" x14ac:dyDescent="0.2">
      <c r="A783" s="18" t="s">
        <v>1094</v>
      </c>
      <c r="B783" s="254" t="s">
        <v>1897</v>
      </c>
      <c r="C783" s="34">
        <v>6960</v>
      </c>
      <c r="D783" s="34">
        <v>7765</v>
      </c>
      <c r="E783" s="34">
        <f>7800+156</f>
        <v>7956</v>
      </c>
      <c r="F783" s="34">
        <f>7800+156</f>
        <v>7956</v>
      </c>
    </row>
    <row r="784" spans="1:7" x14ac:dyDescent="0.2">
      <c r="A784" s="18" t="s">
        <v>467</v>
      </c>
      <c r="B784" s="254" t="s">
        <v>1899</v>
      </c>
      <c r="C784" s="67">
        <v>721.96</v>
      </c>
      <c r="D784" s="67">
        <v>1205.5</v>
      </c>
      <c r="E784" s="67">
        <v>1500</v>
      </c>
      <c r="F784" s="67">
        <v>1300</v>
      </c>
    </row>
    <row r="785" spans="1:6" x14ac:dyDescent="0.2">
      <c r="A785" s="18" t="s">
        <v>468</v>
      </c>
      <c r="B785" s="254" t="s">
        <v>1900</v>
      </c>
      <c r="C785" s="67">
        <v>2170.86</v>
      </c>
      <c r="D785" s="67">
        <v>2028.84</v>
      </c>
      <c r="E785" s="67">
        <v>2500</v>
      </c>
      <c r="F785" s="67">
        <v>2500</v>
      </c>
    </row>
    <row r="786" spans="1:6" x14ac:dyDescent="0.2">
      <c r="A786" s="18" t="s">
        <v>469</v>
      </c>
      <c r="B786" s="254" t="s">
        <v>1902</v>
      </c>
      <c r="C786" s="67">
        <v>50</v>
      </c>
      <c r="D786" s="67">
        <v>50</v>
      </c>
      <c r="E786" s="67">
        <v>50</v>
      </c>
      <c r="F786" s="67">
        <v>50</v>
      </c>
    </row>
    <row r="787" spans="1:6" x14ac:dyDescent="0.2">
      <c r="A787" s="18" t="s">
        <v>470</v>
      </c>
      <c r="B787" s="254" t="s">
        <v>1904</v>
      </c>
      <c r="C787" s="85">
        <v>0</v>
      </c>
      <c r="D787" s="85">
        <v>0</v>
      </c>
      <c r="E787" s="85">
        <v>200</v>
      </c>
      <c r="F787" s="85">
        <v>200</v>
      </c>
    </row>
    <row r="788" spans="1:6" x14ac:dyDescent="0.2">
      <c r="A788" s="18"/>
      <c r="B788" s="6" t="s">
        <v>1099</v>
      </c>
      <c r="C788" s="69">
        <f>SUM(C778:C787)</f>
        <v>95352.590000000011</v>
      </c>
      <c r="D788" s="87">
        <f>SUM(D778:D787)</f>
        <v>99448.049999999988</v>
      </c>
      <c r="E788" s="69">
        <f>SUM(E778:E787)</f>
        <v>104404</v>
      </c>
      <c r="F788" s="69">
        <f>SUM(F778:F787)</f>
        <v>108486</v>
      </c>
    </row>
    <row r="789" spans="1:6" x14ac:dyDescent="0.2">
      <c r="A789" s="18"/>
      <c r="B789" s="6"/>
      <c r="C789" s="72"/>
      <c r="D789" s="54"/>
      <c r="E789" s="72"/>
      <c r="F789" s="72"/>
    </row>
    <row r="790" spans="1:6" x14ac:dyDescent="0.2">
      <c r="A790" s="59" t="s">
        <v>471</v>
      </c>
      <c r="B790" s="4" t="s">
        <v>608</v>
      </c>
    </row>
    <row r="791" spans="1:6" x14ac:dyDescent="0.2">
      <c r="A791" s="18" t="s">
        <v>324</v>
      </c>
      <c r="B791" s="254" t="s">
        <v>1908</v>
      </c>
      <c r="C791" s="66">
        <v>37402.04</v>
      </c>
      <c r="D791" s="67">
        <v>38202.06</v>
      </c>
      <c r="E791" s="66">
        <f>39002-4000</f>
        <v>35002</v>
      </c>
      <c r="F791" s="66">
        <v>33391</v>
      </c>
    </row>
    <row r="792" spans="1:6" x14ac:dyDescent="0.2">
      <c r="A792" s="18" t="s">
        <v>325</v>
      </c>
      <c r="B792" s="254" t="s">
        <v>1893</v>
      </c>
      <c r="C792" s="67">
        <v>959.92</v>
      </c>
      <c r="D792" s="67">
        <v>1306.17</v>
      </c>
      <c r="E792" s="67">
        <v>1380</v>
      </c>
      <c r="F792" s="67">
        <v>180</v>
      </c>
    </row>
    <row r="793" spans="1:6" x14ac:dyDescent="0.2">
      <c r="A793" s="18" t="s">
        <v>326</v>
      </c>
      <c r="B793" s="254" t="s">
        <v>1895</v>
      </c>
      <c r="C793" s="67">
        <v>2879.66</v>
      </c>
      <c r="D793" s="67">
        <v>2968.32</v>
      </c>
      <c r="E793" s="67">
        <v>3089</v>
      </c>
      <c r="F793" s="67">
        <v>2568</v>
      </c>
    </row>
    <row r="794" spans="1:6" x14ac:dyDescent="0.2">
      <c r="A794" s="18" t="s">
        <v>327</v>
      </c>
      <c r="B794" s="254" t="s">
        <v>1896</v>
      </c>
      <c r="C794" s="67">
        <v>4492.46</v>
      </c>
      <c r="D794" s="67">
        <v>4688.72</v>
      </c>
      <c r="E794" s="67">
        <v>4967</v>
      </c>
      <c r="F794" s="67">
        <v>4176</v>
      </c>
    </row>
    <row r="795" spans="1:6" x14ac:dyDescent="0.2">
      <c r="A795" s="18" t="s">
        <v>328</v>
      </c>
      <c r="B795" s="254" t="s">
        <v>1897</v>
      </c>
      <c r="C795" s="34">
        <v>6960</v>
      </c>
      <c r="D795" s="34">
        <v>7765</v>
      </c>
      <c r="E795" s="34">
        <v>7878</v>
      </c>
      <c r="F795" s="34">
        <v>7878</v>
      </c>
    </row>
    <row r="796" spans="1:6" x14ac:dyDescent="0.2">
      <c r="A796" s="18" t="s">
        <v>329</v>
      </c>
      <c r="B796" s="254" t="s">
        <v>1899</v>
      </c>
      <c r="C796" s="67">
        <v>0</v>
      </c>
      <c r="D796" s="67">
        <v>0</v>
      </c>
      <c r="E796" s="67">
        <v>0</v>
      </c>
      <c r="F796" s="67">
        <v>0</v>
      </c>
    </row>
    <row r="797" spans="1:6" x14ac:dyDescent="0.2">
      <c r="A797" s="18" t="s">
        <v>330</v>
      </c>
      <c r="B797" s="254" t="s">
        <v>1900</v>
      </c>
      <c r="C797" s="67">
        <v>0</v>
      </c>
      <c r="D797" s="67">
        <v>2.0499999999999998</v>
      </c>
      <c r="E797" s="67">
        <v>0</v>
      </c>
      <c r="F797" s="67">
        <v>0</v>
      </c>
    </row>
    <row r="798" spans="1:6" x14ac:dyDescent="0.2">
      <c r="A798" s="18" t="s">
        <v>331</v>
      </c>
      <c r="B798" s="254" t="s">
        <v>1976</v>
      </c>
      <c r="C798" s="67">
        <v>0</v>
      </c>
      <c r="D798" s="67">
        <v>0</v>
      </c>
      <c r="E798" s="67">
        <v>0</v>
      </c>
      <c r="F798" s="67">
        <v>0</v>
      </c>
    </row>
    <row r="799" spans="1:6" x14ac:dyDescent="0.2">
      <c r="A799" s="18" t="s">
        <v>332</v>
      </c>
      <c r="B799" s="254" t="s">
        <v>1904</v>
      </c>
      <c r="C799" s="34">
        <v>0</v>
      </c>
      <c r="D799" s="34">
        <v>0</v>
      </c>
      <c r="E799" s="34">
        <v>0</v>
      </c>
      <c r="F799" s="34">
        <v>1250</v>
      </c>
    </row>
    <row r="800" spans="1:6" x14ac:dyDescent="0.2">
      <c r="A800" s="18" t="s">
        <v>1413</v>
      </c>
      <c r="B800" s="254" t="s">
        <v>2024</v>
      </c>
      <c r="C800" s="34">
        <v>0</v>
      </c>
      <c r="D800" s="34">
        <v>0</v>
      </c>
      <c r="E800" s="34">
        <v>0</v>
      </c>
      <c r="F800" s="34">
        <v>0</v>
      </c>
    </row>
    <row r="801" spans="1:6" x14ac:dyDescent="0.2">
      <c r="A801" s="18"/>
      <c r="B801" s="6" t="s">
        <v>1099</v>
      </c>
      <c r="C801" s="69">
        <f>SUM(C791:C800)</f>
        <v>52694.079999999994</v>
      </c>
      <c r="D801" s="87">
        <f>SUM(D791:D800)</f>
        <v>54932.32</v>
      </c>
      <c r="E801" s="69">
        <f>SUM(E791:E800)</f>
        <v>52316</v>
      </c>
      <c r="F801" s="69">
        <f>SUM(F791:F800)</f>
        <v>49443</v>
      </c>
    </row>
    <row r="802" spans="1:6" x14ac:dyDescent="0.2">
      <c r="A802" s="18"/>
      <c r="B802" s="6"/>
      <c r="C802" s="72"/>
      <c r="D802" s="54"/>
      <c r="E802" s="72"/>
      <c r="F802" s="72"/>
    </row>
    <row r="803" spans="1:6" x14ac:dyDescent="0.2">
      <c r="A803" s="59" t="s">
        <v>333</v>
      </c>
      <c r="B803" s="4" t="s">
        <v>609</v>
      </c>
    </row>
    <row r="804" spans="1:6" x14ac:dyDescent="0.2">
      <c r="A804" s="61" t="s">
        <v>504</v>
      </c>
      <c r="B804" s="254" t="s">
        <v>1842</v>
      </c>
      <c r="C804" s="66">
        <v>0</v>
      </c>
      <c r="D804" s="67">
        <v>0</v>
      </c>
      <c r="E804" s="66">
        <v>0</v>
      </c>
      <c r="F804" s="66">
        <v>0</v>
      </c>
    </row>
    <row r="805" spans="1:6" x14ac:dyDescent="0.2">
      <c r="A805" s="18" t="s">
        <v>334</v>
      </c>
      <c r="B805" s="254" t="s">
        <v>2036</v>
      </c>
      <c r="C805" s="81">
        <v>39100</v>
      </c>
      <c r="D805" s="67">
        <v>39100</v>
      </c>
      <c r="E805" s="81">
        <f>39100</f>
        <v>39100</v>
      </c>
      <c r="F805" s="81">
        <f>39100+250000</f>
        <v>289100</v>
      </c>
    </row>
    <row r="806" spans="1:6" x14ac:dyDescent="0.2">
      <c r="A806" s="18" t="s">
        <v>1651</v>
      </c>
      <c r="B806" s="254" t="s">
        <v>2037</v>
      </c>
      <c r="C806" s="81">
        <v>7675</v>
      </c>
      <c r="D806" s="67">
        <v>7675</v>
      </c>
      <c r="E806" s="81">
        <v>7675</v>
      </c>
      <c r="F806" s="81">
        <v>7675</v>
      </c>
    </row>
    <row r="807" spans="1:6" hidden="1" x14ac:dyDescent="0.2">
      <c r="A807" s="18" t="s">
        <v>335</v>
      </c>
      <c r="B807" s="253" t="s">
        <v>610</v>
      </c>
      <c r="C807" s="67">
        <v>0</v>
      </c>
      <c r="D807" s="67">
        <v>0</v>
      </c>
      <c r="E807" s="67">
        <v>0</v>
      </c>
      <c r="F807" s="67">
        <v>0</v>
      </c>
    </row>
    <row r="808" spans="1:6" x14ac:dyDescent="0.2">
      <c r="A808" s="18" t="s">
        <v>336</v>
      </c>
      <c r="B808" s="254" t="s">
        <v>2038</v>
      </c>
      <c r="C808" s="67">
        <v>0</v>
      </c>
      <c r="D808" s="67">
        <v>0</v>
      </c>
      <c r="E808" s="67">
        <v>1000</v>
      </c>
      <c r="F808" s="67">
        <v>1000</v>
      </c>
    </row>
    <row r="809" spans="1:6" x14ac:dyDescent="0.2">
      <c r="A809" s="18" t="s">
        <v>337</v>
      </c>
      <c r="B809" s="254" t="s">
        <v>2039</v>
      </c>
      <c r="C809" s="67">
        <v>0</v>
      </c>
      <c r="D809" s="67">
        <v>0</v>
      </c>
      <c r="E809" s="67">
        <v>50</v>
      </c>
      <c r="F809" s="67">
        <v>50</v>
      </c>
    </row>
    <row r="810" spans="1:6" x14ac:dyDescent="0.2">
      <c r="A810" s="18" t="s">
        <v>338</v>
      </c>
      <c r="B810" s="254" t="s">
        <v>2040</v>
      </c>
      <c r="C810" s="67">
        <v>0</v>
      </c>
      <c r="D810" s="67">
        <v>0</v>
      </c>
      <c r="E810" s="67">
        <v>0</v>
      </c>
      <c r="F810" s="67">
        <v>0</v>
      </c>
    </row>
    <row r="811" spans="1:6" x14ac:dyDescent="0.2">
      <c r="A811" s="18" t="s">
        <v>339</v>
      </c>
      <c r="B811" s="254" t="s">
        <v>2041</v>
      </c>
      <c r="C811" s="63">
        <v>36900</v>
      </c>
      <c r="D811" s="63">
        <v>38400</v>
      </c>
      <c r="E811" s="63">
        <v>38400</v>
      </c>
      <c r="F811" s="63">
        <v>38400</v>
      </c>
    </row>
    <row r="812" spans="1:6" x14ac:dyDescent="0.2">
      <c r="A812" s="18"/>
      <c r="B812" s="6" t="s">
        <v>1099</v>
      </c>
      <c r="C812" s="69">
        <f>SUM(C804:C811)</f>
        <v>83675</v>
      </c>
      <c r="D812" s="87">
        <f>SUM(D804:D811)</f>
        <v>85175</v>
      </c>
      <c r="E812" s="69">
        <f>SUM(E804:E811)</f>
        <v>86225</v>
      </c>
      <c r="F812" s="69">
        <f>SUM(F804:F811)</f>
        <v>336225</v>
      </c>
    </row>
    <row r="813" spans="1:6" x14ac:dyDescent="0.2">
      <c r="A813" s="18"/>
      <c r="B813" s="6"/>
      <c r="C813" s="72"/>
      <c r="D813" s="54"/>
      <c r="E813" s="72"/>
      <c r="F813" s="72"/>
    </row>
    <row r="814" spans="1:6" x14ac:dyDescent="0.2">
      <c r="A814" s="59" t="s">
        <v>340</v>
      </c>
      <c r="B814" s="31" t="s">
        <v>611</v>
      </c>
      <c r="C814" s="72"/>
      <c r="D814" s="54"/>
      <c r="E814" s="72"/>
      <c r="F814" s="72"/>
    </row>
    <row r="815" spans="1:6" x14ac:dyDescent="0.2">
      <c r="A815" s="18" t="s">
        <v>341</v>
      </c>
      <c r="B815" s="254" t="s">
        <v>1909</v>
      </c>
      <c r="C815" s="72">
        <v>42861</v>
      </c>
      <c r="D815" s="54">
        <v>44652.14</v>
      </c>
      <c r="E815" s="72">
        <v>45452</v>
      </c>
      <c r="F815" s="72">
        <v>40202</v>
      </c>
    </row>
    <row r="816" spans="1:6" x14ac:dyDescent="0.2">
      <c r="A816" s="18" t="s">
        <v>342</v>
      </c>
      <c r="B816" s="254" t="s">
        <v>1988</v>
      </c>
      <c r="C816" s="54">
        <v>36567.96</v>
      </c>
      <c r="D816" s="54">
        <v>37367.980000000003</v>
      </c>
      <c r="E816" s="54">
        <v>38168</v>
      </c>
      <c r="F816" s="54">
        <v>0</v>
      </c>
    </row>
    <row r="817" spans="1:7" x14ac:dyDescent="0.2">
      <c r="A817" s="18" t="s">
        <v>343</v>
      </c>
      <c r="B817" s="254" t="s">
        <v>1989</v>
      </c>
      <c r="C817" s="84">
        <v>0</v>
      </c>
      <c r="D817" s="84">
        <v>0</v>
      </c>
      <c r="E817" s="84">
        <v>0</v>
      </c>
      <c r="F817" s="84">
        <v>20731</v>
      </c>
    </row>
    <row r="818" spans="1:7" x14ac:dyDescent="0.2">
      <c r="A818" s="18" t="s">
        <v>1065</v>
      </c>
      <c r="B818" s="254" t="s">
        <v>1893</v>
      </c>
      <c r="C818" s="84">
        <v>1075.42</v>
      </c>
      <c r="D818" s="84">
        <v>1657.04</v>
      </c>
      <c r="E818" s="84">
        <v>1800</v>
      </c>
      <c r="F818" s="84">
        <v>960</v>
      </c>
    </row>
    <row r="819" spans="1:7" x14ac:dyDescent="0.2">
      <c r="A819" s="18" t="s">
        <v>344</v>
      </c>
      <c r="B819" s="254" t="s">
        <v>1895</v>
      </c>
      <c r="C819" s="54">
        <v>5647.44</v>
      </c>
      <c r="D819" s="54">
        <v>5845.6</v>
      </c>
      <c r="E819" s="54">
        <v>6590</v>
      </c>
      <c r="F819" s="54">
        <v>4772</v>
      </c>
    </row>
    <row r="820" spans="1:7" x14ac:dyDescent="0.2">
      <c r="A820" s="18" t="s">
        <v>345</v>
      </c>
      <c r="B820" s="254" t="s">
        <v>1896</v>
      </c>
      <c r="C820" s="54">
        <v>9428.48</v>
      </c>
      <c r="D820" s="54">
        <v>9930.2000000000007</v>
      </c>
      <c r="E820" s="54">
        <v>10507</v>
      </c>
      <c r="F820" s="54">
        <v>7699</v>
      </c>
    </row>
    <row r="821" spans="1:7" x14ac:dyDescent="0.2">
      <c r="A821" s="18" t="s">
        <v>346</v>
      </c>
      <c r="B821" s="254" t="s">
        <v>1897</v>
      </c>
      <c r="C821" s="84">
        <v>13920</v>
      </c>
      <c r="D821" s="84">
        <v>15530</v>
      </c>
      <c r="E821" s="84">
        <f>15600+156</f>
        <v>15756</v>
      </c>
      <c r="F821" s="84">
        <f>(15600+156)/2</f>
        <v>7878</v>
      </c>
    </row>
    <row r="822" spans="1:7" x14ac:dyDescent="0.2">
      <c r="A822" s="129" t="s">
        <v>1590</v>
      </c>
      <c r="B822" s="254" t="s">
        <v>1910</v>
      </c>
      <c r="C822" s="84">
        <v>215.01</v>
      </c>
      <c r="D822" s="84">
        <v>0</v>
      </c>
      <c r="E822" s="84">
        <v>500</v>
      </c>
      <c r="F822" s="84">
        <v>500</v>
      </c>
    </row>
    <row r="823" spans="1:7" x14ac:dyDescent="0.2">
      <c r="A823" s="18" t="s">
        <v>693</v>
      </c>
      <c r="B823" s="254" t="s">
        <v>1996</v>
      </c>
      <c r="C823" s="84">
        <v>649.16</v>
      </c>
      <c r="D823" s="84">
        <v>791.83</v>
      </c>
      <c r="E823" s="84">
        <v>800</v>
      </c>
      <c r="F823" s="84">
        <v>800</v>
      </c>
    </row>
    <row r="824" spans="1:7" x14ac:dyDescent="0.2">
      <c r="A824" s="18" t="s">
        <v>347</v>
      </c>
      <c r="B824" s="254" t="s">
        <v>1899</v>
      </c>
      <c r="C824" s="84">
        <v>1746.99</v>
      </c>
      <c r="D824" s="84">
        <v>1800.29</v>
      </c>
      <c r="E824" s="84">
        <v>2000</v>
      </c>
      <c r="F824" s="84">
        <v>2000</v>
      </c>
    </row>
    <row r="825" spans="1:7" x14ac:dyDescent="0.2">
      <c r="A825" s="18" t="s">
        <v>614</v>
      </c>
      <c r="B825" s="254" t="s">
        <v>1900</v>
      </c>
      <c r="C825" s="84">
        <v>668.11</v>
      </c>
      <c r="D825" s="84">
        <v>688.81</v>
      </c>
      <c r="E825" s="84">
        <v>850</v>
      </c>
      <c r="F825" s="84">
        <v>850</v>
      </c>
    </row>
    <row r="826" spans="1:7" x14ac:dyDescent="0.2">
      <c r="A826" s="18" t="s">
        <v>87</v>
      </c>
      <c r="B826" s="254" t="s">
        <v>2043</v>
      </c>
      <c r="C826" s="84">
        <v>1156.3499999999999</v>
      </c>
      <c r="D826" s="84">
        <v>1941.55</v>
      </c>
      <c r="E826" s="84">
        <v>1800</v>
      </c>
      <c r="F826" s="84">
        <v>2200</v>
      </c>
    </row>
    <row r="827" spans="1:7" x14ac:dyDescent="0.2">
      <c r="A827" s="18" t="s">
        <v>348</v>
      </c>
      <c r="B827" s="254" t="s">
        <v>1901</v>
      </c>
      <c r="C827" s="84">
        <v>720</v>
      </c>
      <c r="D827" s="84">
        <v>720</v>
      </c>
      <c r="E827" s="84">
        <v>720</v>
      </c>
      <c r="F827" s="84">
        <v>1200</v>
      </c>
      <c r="G827" s="223"/>
    </row>
    <row r="828" spans="1:7" x14ac:dyDescent="0.2">
      <c r="A828" s="18" t="s">
        <v>980</v>
      </c>
      <c r="B828" s="254" t="s">
        <v>2044</v>
      </c>
      <c r="C828" s="84">
        <v>0</v>
      </c>
      <c r="D828" s="84">
        <v>0</v>
      </c>
      <c r="E828" s="84">
        <v>0</v>
      </c>
      <c r="F828" s="84">
        <v>0</v>
      </c>
    </row>
    <row r="829" spans="1:7" x14ac:dyDescent="0.2">
      <c r="A829" s="18" t="s">
        <v>349</v>
      </c>
      <c r="B829" s="254" t="s">
        <v>1902</v>
      </c>
      <c r="C829" s="84">
        <v>3367.6</v>
      </c>
      <c r="D829" s="84">
        <v>3185</v>
      </c>
      <c r="E829" s="84">
        <v>4000</v>
      </c>
      <c r="F829" s="84">
        <v>7800</v>
      </c>
    </row>
    <row r="830" spans="1:7" x14ac:dyDescent="0.2">
      <c r="A830" s="18" t="s">
        <v>88</v>
      </c>
      <c r="B830" s="254" t="s">
        <v>1976</v>
      </c>
      <c r="C830" s="84">
        <v>2655.74</v>
      </c>
      <c r="D830" s="84">
        <v>2810.11</v>
      </c>
      <c r="E830" s="84">
        <v>2500</v>
      </c>
      <c r="F830" s="84">
        <v>2500</v>
      </c>
    </row>
    <row r="831" spans="1:7" x14ac:dyDescent="0.2">
      <c r="A831" s="18" t="s">
        <v>982</v>
      </c>
      <c r="B831" s="254" t="s">
        <v>2045</v>
      </c>
      <c r="C831" s="84">
        <v>1730</v>
      </c>
      <c r="D831" s="84">
        <v>1930</v>
      </c>
      <c r="E831" s="84">
        <v>2000</v>
      </c>
      <c r="F831" s="84">
        <v>2500</v>
      </c>
    </row>
    <row r="832" spans="1:7" x14ac:dyDescent="0.2">
      <c r="A832" s="18" t="s">
        <v>983</v>
      </c>
      <c r="B832" s="254" t="s">
        <v>1904</v>
      </c>
      <c r="C832" s="84">
        <v>0</v>
      </c>
      <c r="D832" s="84">
        <v>0</v>
      </c>
      <c r="E832" s="84">
        <v>500</v>
      </c>
      <c r="F832" s="84">
        <v>700</v>
      </c>
    </row>
    <row r="833" spans="1:6" x14ac:dyDescent="0.2">
      <c r="A833" s="18" t="s">
        <v>2320</v>
      </c>
      <c r="B833" s="254" t="s">
        <v>2317</v>
      </c>
      <c r="C833" s="84">
        <v>0</v>
      </c>
      <c r="D833" s="84">
        <v>0</v>
      </c>
      <c r="E833" s="84">
        <v>0</v>
      </c>
      <c r="F833" s="84">
        <v>11000</v>
      </c>
    </row>
    <row r="834" spans="1:6" x14ac:dyDescent="0.2">
      <c r="A834" s="18"/>
      <c r="B834" s="6" t="s">
        <v>1099</v>
      </c>
      <c r="C834" s="87">
        <f t="shared" ref="C834:F834" si="9">SUM(C815:C833)</f>
        <v>122409.26000000001</v>
      </c>
      <c r="D834" s="87">
        <f t="shared" si="9"/>
        <v>128850.54999999999</v>
      </c>
      <c r="E834" s="87">
        <f t="shared" si="9"/>
        <v>133943</v>
      </c>
      <c r="F834" s="87">
        <f t="shared" si="9"/>
        <v>114292</v>
      </c>
    </row>
    <row r="835" spans="1:6" x14ac:dyDescent="0.2">
      <c r="A835" s="18"/>
      <c r="B835" s="4" t="s">
        <v>638</v>
      </c>
      <c r="C835" s="75" t="s">
        <v>1410</v>
      </c>
      <c r="D835" s="230" t="s">
        <v>1410</v>
      </c>
      <c r="E835" s="75" t="s">
        <v>1410</v>
      </c>
      <c r="F835" s="75" t="s">
        <v>1410</v>
      </c>
    </row>
    <row r="836" spans="1:6" x14ac:dyDescent="0.2">
      <c r="A836" s="18"/>
      <c r="B836" s="4" t="s">
        <v>963</v>
      </c>
      <c r="C836" s="75" t="s">
        <v>1410</v>
      </c>
      <c r="D836" s="230" t="s">
        <v>1410</v>
      </c>
      <c r="E836" s="75" t="s">
        <v>1410</v>
      </c>
      <c r="F836" s="75" t="s">
        <v>1410</v>
      </c>
    </row>
    <row r="837" spans="1:6" x14ac:dyDescent="0.2">
      <c r="A837" s="18"/>
      <c r="B837" s="4" t="s">
        <v>130</v>
      </c>
      <c r="C837" s="75" t="s">
        <v>1410</v>
      </c>
      <c r="D837" s="230" t="s">
        <v>1410</v>
      </c>
      <c r="E837" s="75" t="s">
        <v>1410</v>
      </c>
      <c r="F837" s="75" t="s">
        <v>1410</v>
      </c>
    </row>
    <row r="838" spans="1:6" x14ac:dyDescent="0.2">
      <c r="A838" s="18"/>
      <c r="C838" s="77" t="str">
        <f>+$C$4</f>
        <v>2018 ACTUAL</v>
      </c>
      <c r="D838" s="266" t="str">
        <f>+D$4</f>
        <v>2019 ACTUAL</v>
      </c>
      <c r="E838" s="77" t="str">
        <f>+E$4</f>
        <v>2020 BUDGET</v>
      </c>
      <c r="F838" s="77" t="str">
        <f>+F$4</f>
        <v>2021 BUDGET</v>
      </c>
    </row>
    <row r="839" spans="1:6" x14ac:dyDescent="0.2">
      <c r="A839" s="59" t="s">
        <v>984</v>
      </c>
      <c r="B839" s="4" t="s">
        <v>612</v>
      </c>
    </row>
    <row r="840" spans="1:6" x14ac:dyDescent="0.2">
      <c r="A840" s="18" t="s">
        <v>986</v>
      </c>
      <c r="B840" s="254" t="s">
        <v>1909</v>
      </c>
      <c r="C840" s="66">
        <v>37735.61</v>
      </c>
      <c r="D840" s="67">
        <v>39933.14</v>
      </c>
      <c r="E840" s="66">
        <v>40733</v>
      </c>
      <c r="F840" s="66">
        <v>41057</v>
      </c>
    </row>
    <row r="841" spans="1:6" x14ac:dyDescent="0.2">
      <c r="A841" s="18" t="s">
        <v>987</v>
      </c>
      <c r="B841" s="254" t="s">
        <v>1905</v>
      </c>
      <c r="C841" s="67">
        <v>29272.1</v>
      </c>
      <c r="D841" s="67">
        <v>29493.81</v>
      </c>
      <c r="E841" s="67">
        <v>30872</v>
      </c>
      <c r="F841" s="67">
        <v>31436</v>
      </c>
    </row>
    <row r="842" spans="1:6" x14ac:dyDescent="0.2">
      <c r="A842" s="18" t="s">
        <v>1066</v>
      </c>
      <c r="B842" s="254" t="s">
        <v>1989</v>
      </c>
      <c r="C842" s="67">
        <v>13416.41</v>
      </c>
      <c r="D842" s="67">
        <v>12835.88</v>
      </c>
      <c r="E842" s="67">
        <v>15118</v>
      </c>
      <c r="F842" s="67">
        <v>0</v>
      </c>
    </row>
    <row r="843" spans="1:6" x14ac:dyDescent="0.2">
      <c r="A843" s="18" t="s">
        <v>988</v>
      </c>
      <c r="B843" s="254" t="s">
        <v>1893</v>
      </c>
      <c r="C843" s="67">
        <v>0</v>
      </c>
      <c r="D843" s="67">
        <v>0</v>
      </c>
      <c r="E843" s="67">
        <v>360</v>
      </c>
      <c r="F843" s="67">
        <v>240</v>
      </c>
    </row>
    <row r="844" spans="1:6" x14ac:dyDescent="0.2">
      <c r="A844" s="18" t="s">
        <v>985</v>
      </c>
      <c r="B844" s="254" t="s">
        <v>1895</v>
      </c>
      <c r="C844" s="67">
        <v>5609.08</v>
      </c>
      <c r="D844" s="67">
        <v>5699.42</v>
      </c>
      <c r="E844" s="67">
        <v>6662</v>
      </c>
      <c r="F844" s="67">
        <v>5564</v>
      </c>
    </row>
    <row r="845" spans="1:6" x14ac:dyDescent="0.2">
      <c r="A845" s="18" t="s">
        <v>989</v>
      </c>
      <c r="B845" s="254" t="s">
        <v>1896</v>
      </c>
      <c r="C845" s="67">
        <v>9418</v>
      </c>
      <c r="D845" s="67">
        <v>9759.39</v>
      </c>
      <c r="E845" s="67">
        <v>10711</v>
      </c>
      <c r="F845" s="67">
        <v>9048</v>
      </c>
    </row>
    <row r="846" spans="1:6" x14ac:dyDescent="0.2">
      <c r="A846" s="18" t="s">
        <v>990</v>
      </c>
      <c r="B846" s="254" t="s">
        <v>1897</v>
      </c>
      <c r="C846" s="34">
        <v>13920</v>
      </c>
      <c r="D846" s="34">
        <v>15530</v>
      </c>
      <c r="E846" s="34">
        <f>15600+156</f>
        <v>15756</v>
      </c>
      <c r="F846" s="34">
        <f>15600+156</f>
        <v>15756</v>
      </c>
    </row>
    <row r="847" spans="1:6" x14ac:dyDescent="0.2">
      <c r="A847" s="18" t="s">
        <v>991</v>
      </c>
      <c r="B847" s="254" t="s">
        <v>1899</v>
      </c>
      <c r="C847" s="34">
        <v>1549.42</v>
      </c>
      <c r="D847" s="34">
        <v>1187.31</v>
      </c>
      <c r="E847" s="34">
        <v>2500</v>
      </c>
      <c r="F847" s="34">
        <v>2000</v>
      </c>
    </row>
    <row r="848" spans="1:6" x14ac:dyDescent="0.2">
      <c r="A848" s="18" t="s">
        <v>992</v>
      </c>
      <c r="B848" s="254" t="s">
        <v>1900</v>
      </c>
      <c r="C848" s="34">
        <v>237</v>
      </c>
      <c r="D848" s="34">
        <v>162.54</v>
      </c>
      <c r="E848" s="34">
        <v>800</v>
      </c>
      <c r="F848" s="34">
        <v>800</v>
      </c>
    </row>
    <row r="849" spans="1:6" x14ac:dyDescent="0.2">
      <c r="A849" s="18" t="s">
        <v>993</v>
      </c>
      <c r="B849" s="254" t="s">
        <v>1902</v>
      </c>
      <c r="C849" s="34">
        <v>1629.43</v>
      </c>
      <c r="D849" s="34">
        <v>1962.64</v>
      </c>
      <c r="E849" s="34">
        <v>5000</v>
      </c>
      <c r="F849" s="34">
        <v>4000</v>
      </c>
    </row>
    <row r="850" spans="1:6" x14ac:dyDescent="0.2">
      <c r="A850" s="18" t="s">
        <v>994</v>
      </c>
      <c r="B850" s="254" t="s">
        <v>1904</v>
      </c>
      <c r="C850" s="34">
        <v>0</v>
      </c>
      <c r="D850" s="34">
        <v>0</v>
      </c>
      <c r="E850" s="34">
        <v>0</v>
      </c>
      <c r="F850" s="34">
        <v>500</v>
      </c>
    </row>
    <row r="851" spans="1:6" x14ac:dyDescent="0.2">
      <c r="A851" s="18" t="s">
        <v>1119</v>
      </c>
      <c r="B851" s="254" t="s">
        <v>1934</v>
      </c>
      <c r="C851" s="34">
        <v>18192</v>
      </c>
      <c r="D851" s="34">
        <v>18192</v>
      </c>
      <c r="E851" s="34">
        <v>18200</v>
      </c>
      <c r="F851" s="34">
        <v>18200</v>
      </c>
    </row>
    <row r="852" spans="1:6" x14ac:dyDescent="0.2">
      <c r="A852" s="18" t="s">
        <v>166</v>
      </c>
      <c r="B852" s="254" t="s">
        <v>2042</v>
      </c>
      <c r="C852" s="80">
        <f>674725.59+53940</f>
        <v>728665.59</v>
      </c>
      <c r="D852" s="34">
        <v>734312.68</v>
      </c>
      <c r="E852" s="80">
        <v>1583581</v>
      </c>
      <c r="F852" s="80">
        <f>(intro!F372-intro!G379-intro!G382)*0.08</f>
        <v>1608957.8009017585</v>
      </c>
    </row>
    <row r="853" spans="1:6" x14ac:dyDescent="0.2">
      <c r="A853" s="18"/>
      <c r="B853" s="6" t="s">
        <v>1099</v>
      </c>
      <c r="C853" s="69">
        <f>SUM(C840:C852)</f>
        <v>859644.6399999999</v>
      </c>
      <c r="D853" s="87">
        <f>SUM(D840:D852)</f>
        <v>869068.81</v>
      </c>
      <c r="E853" s="69">
        <f>SUM(E840:E852)</f>
        <v>1730293</v>
      </c>
      <c r="F853" s="69">
        <f>SUM(F840:F852)</f>
        <v>1737558.8009017585</v>
      </c>
    </row>
    <row r="854" spans="1:6" x14ac:dyDescent="0.2">
      <c r="A854" s="18"/>
      <c r="B854" s="6"/>
      <c r="C854" s="72"/>
      <c r="D854" s="54"/>
      <c r="E854" s="72"/>
      <c r="F854" s="72"/>
    </row>
    <row r="855" spans="1:6" x14ac:dyDescent="0.2">
      <c r="A855" s="59" t="s">
        <v>995</v>
      </c>
      <c r="B855" s="4" t="s">
        <v>613</v>
      </c>
    </row>
    <row r="856" spans="1:6" x14ac:dyDescent="0.2">
      <c r="A856" s="61" t="s">
        <v>1803</v>
      </c>
      <c r="B856" s="254" t="s">
        <v>1955</v>
      </c>
      <c r="C856" s="10">
        <v>0</v>
      </c>
      <c r="D856" s="10">
        <v>0</v>
      </c>
      <c r="E856" s="34">
        <v>5231</v>
      </c>
      <c r="F856" s="34">
        <v>5000</v>
      </c>
    </row>
    <row r="857" spans="1:6" x14ac:dyDescent="0.2">
      <c r="A857" s="18" t="s">
        <v>996</v>
      </c>
      <c r="B857" s="254" t="s">
        <v>1956</v>
      </c>
      <c r="C857" s="66">
        <v>65560</v>
      </c>
      <c r="D857" s="67">
        <f>65560+3900</f>
        <v>69460</v>
      </c>
      <c r="E857" s="66">
        <v>69460</v>
      </c>
      <c r="F857" s="66">
        <v>74000</v>
      </c>
    </row>
    <row r="858" spans="1:6" x14ac:dyDescent="0.2">
      <c r="A858" s="18" t="s">
        <v>997</v>
      </c>
      <c r="B858" s="254" t="s">
        <v>1957</v>
      </c>
      <c r="C858" s="34">
        <v>8000</v>
      </c>
      <c r="D858" s="34">
        <v>8500</v>
      </c>
      <c r="E858" s="34">
        <v>8500</v>
      </c>
      <c r="F858" s="34">
        <f>8500+3000</f>
        <v>11500</v>
      </c>
    </row>
    <row r="859" spans="1:6" x14ac:dyDescent="0.2">
      <c r="A859" s="18" t="s">
        <v>998</v>
      </c>
      <c r="B859" s="254" t="s">
        <v>1958</v>
      </c>
      <c r="C859" s="34">
        <v>1600</v>
      </c>
      <c r="D859" s="34">
        <v>1600</v>
      </c>
      <c r="E859" s="34">
        <v>1600</v>
      </c>
      <c r="F859" s="34">
        <v>1600</v>
      </c>
    </row>
    <row r="860" spans="1:6" x14ac:dyDescent="0.2">
      <c r="A860" s="18" t="s">
        <v>999</v>
      </c>
      <c r="B860" s="254" t="s">
        <v>1959</v>
      </c>
      <c r="C860" s="34">
        <v>8750</v>
      </c>
      <c r="D860" s="34">
        <v>8750</v>
      </c>
      <c r="E860" s="34">
        <f>8750+4000</f>
        <v>12750</v>
      </c>
      <c r="F860" s="34">
        <v>13000</v>
      </c>
    </row>
    <row r="861" spans="1:6" x14ac:dyDescent="0.2">
      <c r="A861" s="18" t="s">
        <v>1000</v>
      </c>
      <c r="B861" s="254" t="s">
        <v>1960</v>
      </c>
      <c r="C861" s="34">
        <v>2463.31</v>
      </c>
      <c r="D861" s="34">
        <v>2917.05</v>
      </c>
      <c r="E861" s="34">
        <v>3000</v>
      </c>
      <c r="F861" s="34">
        <v>4000</v>
      </c>
    </row>
    <row r="862" spans="1:6" x14ac:dyDescent="0.2">
      <c r="A862" s="18"/>
      <c r="B862" s="6" t="s">
        <v>1099</v>
      </c>
      <c r="C862" s="87">
        <f t="shared" ref="C862:D862" si="10">SUM(C856:C861)</f>
        <v>86373.31</v>
      </c>
      <c r="D862" s="87">
        <f t="shared" si="10"/>
        <v>91227.05</v>
      </c>
      <c r="E862" s="87">
        <f>SUM(E856:E861)</f>
        <v>100541</v>
      </c>
      <c r="F862" s="87">
        <f>SUM(F856:F861)</f>
        <v>109100</v>
      </c>
    </row>
    <row r="863" spans="1:6" x14ac:dyDescent="0.2">
      <c r="A863" s="18"/>
      <c r="B863" s="6"/>
      <c r="C863" s="72"/>
      <c r="D863" s="54"/>
      <c r="E863" s="72"/>
      <c r="F863" s="72"/>
    </row>
    <row r="864" spans="1:6" x14ac:dyDescent="0.2">
      <c r="A864" s="59" t="s">
        <v>1001</v>
      </c>
      <c r="B864" s="4" t="s">
        <v>720</v>
      </c>
    </row>
    <row r="865" spans="1:6" x14ac:dyDescent="0.2">
      <c r="A865" s="18" t="s">
        <v>1002</v>
      </c>
      <c r="B865" s="254" t="s">
        <v>1952</v>
      </c>
      <c r="C865" s="80">
        <v>15000</v>
      </c>
      <c r="D865" s="34">
        <v>15000</v>
      </c>
      <c r="E865" s="80">
        <v>15000</v>
      </c>
      <c r="F865" s="80">
        <v>15000</v>
      </c>
    </row>
    <row r="866" spans="1:6" x14ac:dyDescent="0.2">
      <c r="A866" s="18" t="s">
        <v>1317</v>
      </c>
      <c r="B866" s="254" t="s">
        <v>1953</v>
      </c>
      <c r="C866" s="84">
        <v>2500</v>
      </c>
      <c r="D866" s="84">
        <v>2500</v>
      </c>
      <c r="E866" s="84">
        <v>2500</v>
      </c>
      <c r="F866" s="84">
        <v>3500</v>
      </c>
    </row>
    <row r="867" spans="1:6" x14ac:dyDescent="0.2">
      <c r="A867" s="18" t="s">
        <v>1003</v>
      </c>
      <c r="B867" s="254" t="s">
        <v>1954</v>
      </c>
      <c r="C867" s="67">
        <v>1000</v>
      </c>
      <c r="D867" s="67">
        <v>0</v>
      </c>
      <c r="E867" s="67">
        <v>0</v>
      </c>
      <c r="F867" s="67">
        <v>0</v>
      </c>
    </row>
    <row r="868" spans="1:6" x14ac:dyDescent="0.2">
      <c r="A868" s="18"/>
      <c r="B868" s="6" t="s">
        <v>1099</v>
      </c>
      <c r="C868" s="69">
        <f>SUM(C865:C867)</f>
        <v>18500</v>
      </c>
      <c r="D868" s="87">
        <f>SUM(D865:D867)</f>
        <v>17500</v>
      </c>
      <c r="E868" s="69">
        <f>SUM(E865:E867)</f>
        <v>17500</v>
      </c>
      <c r="F868" s="69">
        <f>SUM(F865:F867)</f>
        <v>18500</v>
      </c>
    </row>
    <row r="869" spans="1:6" x14ac:dyDescent="0.2">
      <c r="A869" s="18"/>
      <c r="C869" s="75" t="s">
        <v>1410</v>
      </c>
      <c r="D869" s="230" t="s">
        <v>1410</v>
      </c>
      <c r="E869" s="75" t="s">
        <v>1410</v>
      </c>
      <c r="F869" s="75" t="s">
        <v>1410</v>
      </c>
    </row>
    <row r="870" spans="1:6" x14ac:dyDescent="0.2">
      <c r="A870" s="59" t="s">
        <v>1004</v>
      </c>
      <c r="B870" s="4" t="s">
        <v>721</v>
      </c>
    </row>
    <row r="871" spans="1:6" x14ac:dyDescent="0.2">
      <c r="A871" s="18" t="s">
        <v>1005</v>
      </c>
      <c r="B871" s="254" t="s">
        <v>1909</v>
      </c>
      <c r="C871" s="66">
        <v>36069.800000000003</v>
      </c>
      <c r="D871" s="67">
        <v>37669.839999999997</v>
      </c>
      <c r="E871" s="66">
        <f>19635*2</f>
        <v>39270</v>
      </c>
      <c r="F871" s="66">
        <f>20835*2</f>
        <v>41670</v>
      </c>
    </row>
    <row r="872" spans="1:6" x14ac:dyDescent="0.2">
      <c r="A872" s="18" t="s">
        <v>615</v>
      </c>
      <c r="B872" s="254" t="s">
        <v>1908</v>
      </c>
      <c r="C872" s="34">
        <v>59388.160000000003</v>
      </c>
      <c r="D872" s="34">
        <v>57842.04</v>
      </c>
      <c r="E872" s="34">
        <f>27284+34295</f>
        <v>61579</v>
      </c>
      <c r="F872" s="34">
        <f>28484+35495</f>
        <v>63979</v>
      </c>
    </row>
    <row r="873" spans="1:6" x14ac:dyDescent="0.2">
      <c r="A873" s="18" t="s">
        <v>616</v>
      </c>
      <c r="B873" s="254" t="s">
        <v>1893</v>
      </c>
      <c r="C873" s="67">
        <v>535.41</v>
      </c>
      <c r="D873" s="67">
        <v>1040.6300000000001</v>
      </c>
      <c r="E873" s="67">
        <v>540</v>
      </c>
      <c r="F873" s="67">
        <v>600</v>
      </c>
    </row>
    <row r="874" spans="1:6" x14ac:dyDescent="0.2">
      <c r="A874" s="18" t="s">
        <v>618</v>
      </c>
      <c r="B874" s="254" t="s">
        <v>1895</v>
      </c>
      <c r="C874" s="34">
        <v>7327.25</v>
      </c>
      <c r="D874" s="34">
        <v>7354.06</v>
      </c>
      <c r="E874" s="34">
        <v>8491</v>
      </c>
      <c r="F874" s="34">
        <v>8862</v>
      </c>
    </row>
    <row r="875" spans="1:6" x14ac:dyDescent="0.2">
      <c r="A875" s="18" t="s">
        <v>619</v>
      </c>
      <c r="B875" s="254" t="s">
        <v>1896</v>
      </c>
      <c r="C875" s="34">
        <v>7018.2</v>
      </c>
      <c r="D875" s="34">
        <v>6984.74</v>
      </c>
      <c r="E875" s="34">
        <v>7641</v>
      </c>
      <c r="F875" s="34">
        <v>8034</v>
      </c>
    </row>
    <row r="876" spans="1:6" x14ac:dyDescent="0.2">
      <c r="A876" s="18" t="s">
        <v>620</v>
      </c>
      <c r="B876" s="254" t="s">
        <v>1897</v>
      </c>
      <c r="C876" s="34">
        <v>20880</v>
      </c>
      <c r="D876" s="34">
        <v>21995</v>
      </c>
      <c r="E876" s="34">
        <f>23400+313</f>
        <v>23713</v>
      </c>
      <c r="F876" s="34">
        <f>15600+313</f>
        <v>15913</v>
      </c>
    </row>
    <row r="877" spans="1:6" x14ac:dyDescent="0.2">
      <c r="A877" s="18" t="s">
        <v>617</v>
      </c>
      <c r="B877" s="254" t="s">
        <v>1898</v>
      </c>
      <c r="C877" s="67">
        <v>9600.24</v>
      </c>
      <c r="D877" s="67">
        <v>9600.24</v>
      </c>
      <c r="E877" s="67">
        <v>9600</v>
      </c>
      <c r="F877" s="67">
        <v>9600</v>
      </c>
    </row>
    <row r="878" spans="1:6" x14ac:dyDescent="0.2">
      <c r="A878" s="18" t="s">
        <v>621</v>
      </c>
      <c r="B878" s="254" t="s">
        <v>1899</v>
      </c>
      <c r="C878" s="67">
        <v>1884.02</v>
      </c>
      <c r="D878" s="67">
        <v>2152.87</v>
      </c>
      <c r="E878" s="67">
        <v>3000</v>
      </c>
      <c r="F878" s="67">
        <v>3000</v>
      </c>
    </row>
    <row r="879" spans="1:6" x14ac:dyDescent="0.2">
      <c r="A879" s="18" t="s">
        <v>622</v>
      </c>
      <c r="B879" s="254" t="s">
        <v>1951</v>
      </c>
      <c r="C879" s="67">
        <v>11120.9</v>
      </c>
      <c r="D879" s="67">
        <v>11247.89</v>
      </c>
      <c r="E879" s="67">
        <v>11100</v>
      </c>
      <c r="F879" s="67">
        <v>11100</v>
      </c>
    </row>
    <row r="880" spans="1:6" x14ac:dyDescent="0.2">
      <c r="A880" s="18" t="s">
        <v>623</v>
      </c>
      <c r="B880" s="254" t="s">
        <v>1904</v>
      </c>
      <c r="C880" s="34">
        <v>600</v>
      </c>
      <c r="D880" s="34">
        <v>174</v>
      </c>
      <c r="E880" s="34">
        <v>1000</v>
      </c>
      <c r="F880" s="34">
        <v>1000</v>
      </c>
    </row>
    <row r="881" spans="1:7" x14ac:dyDescent="0.2">
      <c r="A881" s="18"/>
      <c r="B881" s="6" t="s">
        <v>1099</v>
      </c>
      <c r="C881" s="69">
        <f>SUM(C871:C880)</f>
        <v>154423.97999999998</v>
      </c>
      <c r="D881" s="87">
        <f>SUM(D871:D880)</f>
        <v>156061.31</v>
      </c>
      <c r="E881" s="69">
        <f>SUM(E871:E880)</f>
        <v>165934</v>
      </c>
      <c r="F881" s="69">
        <f>SUM(F871:F880)</f>
        <v>163758</v>
      </c>
    </row>
    <row r="882" spans="1:7" x14ac:dyDescent="0.2">
      <c r="A882" s="18"/>
      <c r="B882" s="4" t="s">
        <v>638</v>
      </c>
      <c r="C882" s="75" t="s">
        <v>1410</v>
      </c>
      <c r="D882" s="230" t="s">
        <v>1410</v>
      </c>
      <c r="E882" s="75" t="s">
        <v>1410</v>
      </c>
      <c r="F882" s="75" t="s">
        <v>1410</v>
      </c>
    </row>
    <row r="883" spans="1:7" x14ac:dyDescent="0.2">
      <c r="A883" s="18"/>
      <c r="B883" s="4" t="s">
        <v>963</v>
      </c>
      <c r="C883" s="75" t="s">
        <v>1410</v>
      </c>
      <c r="D883" s="230" t="s">
        <v>1410</v>
      </c>
      <c r="E883" s="75" t="s">
        <v>1410</v>
      </c>
      <c r="F883" s="75" t="s">
        <v>1410</v>
      </c>
    </row>
    <row r="884" spans="1:7" x14ac:dyDescent="0.2">
      <c r="A884" s="18"/>
      <c r="B884" s="4" t="s">
        <v>130</v>
      </c>
      <c r="C884" s="75" t="s">
        <v>1410</v>
      </c>
      <c r="D884" s="230" t="s">
        <v>1410</v>
      </c>
      <c r="E884" s="75" t="s">
        <v>1410</v>
      </c>
      <c r="F884" s="75" t="s">
        <v>1410</v>
      </c>
    </row>
    <row r="885" spans="1:7" x14ac:dyDescent="0.2">
      <c r="A885" s="18"/>
      <c r="C885" s="77" t="str">
        <f>+$C$4</f>
        <v>2018 ACTUAL</v>
      </c>
      <c r="D885" s="266" t="str">
        <f>+D$4</f>
        <v>2019 ACTUAL</v>
      </c>
      <c r="E885" s="77" t="str">
        <f>+E$4</f>
        <v>2020 BUDGET</v>
      </c>
      <c r="F885" s="77" t="str">
        <f>+F$4</f>
        <v>2021 BUDGET</v>
      </c>
    </row>
    <row r="886" spans="1:7" x14ac:dyDescent="0.2">
      <c r="A886" s="59" t="s">
        <v>624</v>
      </c>
      <c r="B886" s="4" t="s">
        <v>1496</v>
      </c>
    </row>
    <row r="887" spans="1:7" x14ac:dyDescent="0.2">
      <c r="A887" s="61" t="s">
        <v>2047</v>
      </c>
      <c r="B887" s="254" t="s">
        <v>2048</v>
      </c>
      <c r="C887" s="82">
        <v>0</v>
      </c>
      <c r="D887" s="82">
        <v>-1250</v>
      </c>
      <c r="E887" s="82">
        <v>0</v>
      </c>
      <c r="F887" s="82">
        <v>0</v>
      </c>
    </row>
    <row r="888" spans="1:7" x14ac:dyDescent="0.2">
      <c r="A888" s="18" t="s">
        <v>400</v>
      </c>
      <c r="B888" s="254" t="s">
        <v>1945</v>
      </c>
      <c r="C888" s="82">
        <v>0</v>
      </c>
      <c r="D888" s="82">
        <v>0</v>
      </c>
      <c r="E888" s="82">
        <v>0</v>
      </c>
      <c r="F888" s="82">
        <v>0</v>
      </c>
    </row>
    <row r="889" spans="1:7" x14ac:dyDescent="0.2">
      <c r="A889" s="79" t="s">
        <v>625</v>
      </c>
      <c r="B889" s="265" t="s">
        <v>1946</v>
      </c>
      <c r="C889" s="82">
        <v>81000</v>
      </c>
      <c r="D889" s="82">
        <v>81000</v>
      </c>
      <c r="E889" s="82">
        <v>81000</v>
      </c>
      <c r="F889" s="82">
        <v>10000</v>
      </c>
    </row>
    <row r="890" spans="1:7" x14ac:dyDescent="0.2">
      <c r="A890" s="79" t="s">
        <v>627</v>
      </c>
      <c r="B890" s="265" t="s">
        <v>1947</v>
      </c>
      <c r="C890" s="82">
        <v>0</v>
      </c>
      <c r="D890" s="82">
        <v>0</v>
      </c>
      <c r="E890" s="82">
        <v>0</v>
      </c>
      <c r="F890" s="82">
        <v>0</v>
      </c>
    </row>
    <row r="891" spans="1:7" x14ac:dyDescent="0.2">
      <c r="A891" s="79" t="s">
        <v>629</v>
      </c>
      <c r="B891" s="265" t="s">
        <v>1948</v>
      </c>
      <c r="C891" s="82">
        <v>0</v>
      </c>
      <c r="D891" s="82">
        <v>0</v>
      </c>
      <c r="E891" s="82">
        <v>0</v>
      </c>
      <c r="F891" s="82">
        <v>0</v>
      </c>
    </row>
    <row r="892" spans="1:7" x14ac:dyDescent="0.2">
      <c r="A892" s="79" t="s">
        <v>626</v>
      </c>
      <c r="B892" s="265" t="s">
        <v>1949</v>
      </c>
      <c r="C892" s="82">
        <v>0</v>
      </c>
      <c r="D892" s="82">
        <v>0</v>
      </c>
      <c r="E892" s="82">
        <v>5000</v>
      </c>
      <c r="F892" s="82">
        <v>5000</v>
      </c>
    </row>
    <row r="893" spans="1:7" x14ac:dyDescent="0.2">
      <c r="A893" s="79" t="s">
        <v>628</v>
      </c>
      <c r="B893" s="265" t="s">
        <v>1950</v>
      </c>
      <c r="C893" s="82">
        <v>0</v>
      </c>
      <c r="D893" s="82">
        <v>0</v>
      </c>
      <c r="E893" s="82">
        <v>0</v>
      </c>
      <c r="F893" s="82">
        <v>0</v>
      </c>
    </row>
    <row r="894" spans="1:7" x14ac:dyDescent="0.2">
      <c r="A894" s="79"/>
      <c r="B894" s="127" t="s">
        <v>1099</v>
      </c>
      <c r="C894" s="69">
        <f>SUM(C887:C893)</f>
        <v>81000</v>
      </c>
      <c r="D894" s="87">
        <f>SUM(D887:D893)</f>
        <v>79750</v>
      </c>
      <c r="E894" s="69">
        <f>SUM(E887:E893)</f>
        <v>86000</v>
      </c>
      <c r="F894" s="69">
        <f>SUM(F887:F893)</f>
        <v>15000</v>
      </c>
    </row>
    <row r="895" spans="1:7" x14ac:dyDescent="0.2">
      <c r="A895" s="79"/>
      <c r="B895" s="127"/>
      <c r="C895" s="72"/>
      <c r="D895" s="54"/>
      <c r="E895" s="72"/>
      <c r="F895" s="72"/>
      <c r="G895" s="8"/>
    </row>
    <row r="896" spans="1:7" x14ac:dyDescent="0.2">
      <c r="A896" s="59" t="s">
        <v>630</v>
      </c>
      <c r="B896" s="4" t="s">
        <v>1318</v>
      </c>
    </row>
    <row r="897" spans="1:6" x14ac:dyDescent="0.2">
      <c r="A897" s="18" t="s">
        <v>508</v>
      </c>
      <c r="B897" s="265" t="s">
        <v>1882</v>
      </c>
      <c r="C897" s="66">
        <v>27453.1</v>
      </c>
      <c r="D897" s="67">
        <v>33092.51</v>
      </c>
      <c r="E897" s="66">
        <v>35000</v>
      </c>
      <c r="F897" s="66">
        <v>35000</v>
      </c>
    </row>
    <row r="898" spans="1:6" x14ac:dyDescent="0.2">
      <c r="A898" s="18" t="s">
        <v>631</v>
      </c>
      <c r="B898" s="254" t="s">
        <v>1941</v>
      </c>
      <c r="C898" s="67">
        <v>3666.67</v>
      </c>
      <c r="D898" s="67">
        <v>3713.91</v>
      </c>
      <c r="E898" s="67">
        <v>10000</v>
      </c>
      <c r="F898" s="67">
        <v>9000</v>
      </c>
    </row>
    <row r="899" spans="1:6" x14ac:dyDescent="0.2">
      <c r="A899" s="18" t="s">
        <v>505</v>
      </c>
      <c r="B899" s="254" t="s">
        <v>1942</v>
      </c>
      <c r="C899" s="67">
        <v>0</v>
      </c>
      <c r="D899" s="67">
        <v>0</v>
      </c>
      <c r="E899" s="67">
        <v>0</v>
      </c>
      <c r="F899" s="67">
        <v>0</v>
      </c>
    </row>
    <row r="900" spans="1:6" x14ac:dyDescent="0.2">
      <c r="A900" s="18" t="s">
        <v>506</v>
      </c>
      <c r="B900" s="254" t="s">
        <v>1943</v>
      </c>
      <c r="C900" s="67">
        <v>2000</v>
      </c>
      <c r="D900" s="67">
        <v>4000</v>
      </c>
      <c r="E900" s="67">
        <v>4000</v>
      </c>
      <c r="F900" s="67">
        <v>4000</v>
      </c>
    </row>
    <row r="901" spans="1:6" x14ac:dyDescent="0.2">
      <c r="A901" s="18" t="s">
        <v>507</v>
      </c>
      <c r="B901" s="254" t="s">
        <v>1944</v>
      </c>
      <c r="C901" s="68">
        <v>6000</v>
      </c>
      <c r="D901" s="68">
        <v>5750</v>
      </c>
      <c r="E901" s="68">
        <v>6000</v>
      </c>
      <c r="F901" s="68">
        <v>6000</v>
      </c>
    </row>
    <row r="902" spans="1:6" x14ac:dyDescent="0.2">
      <c r="A902" s="18"/>
      <c r="B902" s="6" t="s">
        <v>1099</v>
      </c>
      <c r="C902" s="69">
        <f>SUM(C897:C901)</f>
        <v>39119.769999999997</v>
      </c>
      <c r="D902" s="87">
        <f>SUM(D897:D901)</f>
        <v>46556.42</v>
      </c>
      <c r="E902" s="69">
        <f>SUM(E897:E901)</f>
        <v>55000</v>
      </c>
      <c r="F902" s="69">
        <f>SUM(F897:F901)</f>
        <v>54000</v>
      </c>
    </row>
    <row r="904" spans="1:6" ht="13.5" thickBot="1" x14ac:dyDescent="0.25">
      <c r="A904" s="18"/>
      <c r="B904" s="6" t="s">
        <v>1319</v>
      </c>
      <c r="C904" s="71">
        <f>C140+C156+C174+C188+C210+C242+C261+C278+C287+C304+C333+C351+C367+C388+C405+C420+C437+C453+C468+C489+C505+C522+C553+C586+C610+C630+C654+C675+C716+C743+C772+C788+C801+C812+C834+C853+C862+C868+C881+C894+C902+C120</f>
        <v>19136294.34</v>
      </c>
      <c r="D904" s="206">
        <f>D140+D156+D174+D188+D210+D242+D261+D278+D287+D304+D333+D351+D367+D388+D405+D420+D437+D453+D468+D489+D505+D522+D553+D586+D610+D630+D654+D675+D716+D743+D772+D788+D801+D812+D834+D853+D862+D868+D881+D894+D902+D120</f>
        <v>19762537.362</v>
      </c>
      <c r="E904" s="71">
        <f>E140+E156+E174+E188+E210+E242+E261+E278+E287+E304+E333+E351+E367+E388+E405+E420+E437+E453+E468+E489+E505+E522+E553+E586+E610+E630+E654+E675+E716+E743+E772+E788+E801+E812+E834+E853+E862+E868+E881+E894+E902+E120</f>
        <v>21711706</v>
      </c>
      <c r="F904" s="71">
        <f>F140+F156+F174+F188+F210+F242+F261+F278+F287+F304+F333+F351+F367+F388+F405+F420+F437+F453+F468+F489+F505+F522+F553+F586+F610+F630+F654+F675+F716+F743+F772+F788+F801+F812+F834+F853+F862+F868+F881+F894+F902+F120</f>
        <v>23097729.200901758</v>
      </c>
    </row>
    <row r="905" spans="1:6" ht="13.5" thickTop="1" x14ac:dyDescent="0.2">
      <c r="A905" s="18"/>
      <c r="B905" s="6"/>
      <c r="C905" s="72"/>
      <c r="D905" s="54"/>
      <c r="E905" s="72"/>
      <c r="F905" s="72"/>
    </row>
    <row r="906" spans="1:6" x14ac:dyDescent="0.2">
      <c r="A906" s="18"/>
      <c r="B906" s="6"/>
      <c r="C906" s="72"/>
      <c r="D906" s="54"/>
      <c r="E906" s="72"/>
      <c r="F906" s="72"/>
    </row>
    <row r="907" spans="1:6" x14ac:dyDescent="0.2">
      <c r="A907" s="18"/>
      <c r="B907" s="6"/>
      <c r="C907" s="72"/>
      <c r="D907" s="54"/>
      <c r="E907" s="72"/>
      <c r="F907" s="72"/>
    </row>
    <row r="908" spans="1:6" x14ac:dyDescent="0.2">
      <c r="A908" s="18"/>
      <c r="B908" s="4" t="s">
        <v>1320</v>
      </c>
    </row>
    <row r="909" spans="1:6" ht="12.75" customHeight="1" x14ac:dyDescent="0.2">
      <c r="A909" s="18"/>
      <c r="B909" s="4" t="s">
        <v>964</v>
      </c>
    </row>
    <row r="910" spans="1:6" x14ac:dyDescent="0.2">
      <c r="A910" s="18"/>
      <c r="B910" s="4" t="s">
        <v>1321</v>
      </c>
      <c r="C910" s="77" t="str">
        <f>+C$4</f>
        <v>2018 ACTUAL</v>
      </c>
      <c r="D910" s="266" t="str">
        <f>+D$4</f>
        <v>2019 ACTUAL</v>
      </c>
      <c r="E910" s="77" t="str">
        <f>+E$4</f>
        <v>2020 BUDGET</v>
      </c>
      <c r="F910" s="77" t="str">
        <f>+F$4</f>
        <v>2021 BUDGET</v>
      </c>
    </row>
    <row r="912" spans="1:6" x14ac:dyDescent="0.2">
      <c r="A912" s="18"/>
      <c r="B912" t="s">
        <v>1322</v>
      </c>
      <c r="C912" s="125">
        <v>5310680.7599999933</v>
      </c>
      <c r="D912" s="67">
        <f>C920</f>
        <v>6532747.6899999902</v>
      </c>
      <c r="E912" s="66">
        <f>D920</f>
        <v>7951643.4179999903</v>
      </c>
      <c r="F912" s="66">
        <f>E920</f>
        <v>7531983.4179999903</v>
      </c>
    </row>
    <row r="913" spans="1:6" x14ac:dyDescent="0.2">
      <c r="A913" s="18"/>
      <c r="C913" s="66"/>
      <c r="E913" s="66"/>
      <c r="F913" s="66"/>
    </row>
    <row r="914" spans="1:6" x14ac:dyDescent="0.2">
      <c r="A914" s="18"/>
      <c r="B914" t="s">
        <v>1323</v>
      </c>
      <c r="C914" s="67">
        <f>C112</f>
        <v>20408361.269999996</v>
      </c>
      <c r="D914" s="67">
        <f>D112</f>
        <v>21181433.09</v>
      </c>
      <c r="E914" s="67">
        <f>E112</f>
        <v>21292046</v>
      </c>
      <c r="F914" s="67">
        <f>F112</f>
        <v>21490680.255520102</v>
      </c>
    </row>
    <row r="915" spans="1:6" x14ac:dyDescent="0.2">
      <c r="A915" s="18"/>
      <c r="C915" s="67"/>
      <c r="E915" s="67"/>
      <c r="F915" s="67"/>
    </row>
    <row r="916" spans="1:6" x14ac:dyDescent="0.2">
      <c r="A916" s="18"/>
      <c r="B916" t="s">
        <v>1324</v>
      </c>
      <c r="C916" s="67">
        <f>(C904)</f>
        <v>19136294.34</v>
      </c>
      <c r="D916" s="67">
        <f>(D904)</f>
        <v>19762537.362</v>
      </c>
      <c r="E916" s="81">
        <f>(E904)</f>
        <v>21711706</v>
      </c>
      <c r="F916" s="81">
        <f>(F904)</f>
        <v>23097729.200901758</v>
      </c>
    </row>
    <row r="917" spans="1:6" x14ac:dyDescent="0.2">
      <c r="A917" s="18"/>
      <c r="C917" s="67"/>
      <c r="E917" s="67"/>
      <c r="F917" s="67"/>
    </row>
    <row r="918" spans="1:6" x14ac:dyDescent="0.2">
      <c r="A918" s="18"/>
      <c r="B918" t="s">
        <v>1325</v>
      </c>
      <c r="C918" s="63">
        <v>-50000</v>
      </c>
      <c r="D918" s="63">
        <v>0</v>
      </c>
      <c r="E918" s="63">
        <v>0</v>
      </c>
      <c r="F918" s="63">
        <v>0</v>
      </c>
    </row>
    <row r="919" spans="1:6" x14ac:dyDescent="0.2">
      <c r="A919" s="18"/>
      <c r="C919" s="54"/>
      <c r="D919" s="54"/>
      <c r="E919" s="54"/>
      <c r="F919" s="54"/>
    </row>
    <row r="920" spans="1:6" ht="13.5" thickBot="1" x14ac:dyDescent="0.25">
      <c r="A920" s="18"/>
      <c r="B920" t="s">
        <v>1326</v>
      </c>
      <c r="C920" s="71">
        <f>C912+C914-C916+C918</f>
        <v>6532747.6899999902</v>
      </c>
      <c r="D920" s="206">
        <f>D912+D914-D916+D918</f>
        <v>7951643.4179999903</v>
      </c>
      <c r="E920" s="71">
        <f>E912+E914-E916+E918</f>
        <v>7531983.4179999903</v>
      </c>
      <c r="F920" s="71">
        <f>F912+F914-F916+F918</f>
        <v>5924934.472618334</v>
      </c>
    </row>
    <row r="921" spans="1:6" ht="13.5" thickTop="1" x14ac:dyDescent="0.2"/>
    <row r="922" spans="1:6" x14ac:dyDescent="0.2">
      <c r="C922" s="66"/>
      <c r="E922" s="67"/>
      <c r="F922" s="67"/>
    </row>
  </sheetData>
  <phoneticPr fontId="2" type="noConversion"/>
  <pageMargins left="0.5" right="0.25" top="0.5" bottom="0.5" header="0.5" footer="0.25"/>
  <pageSetup scale="85" orientation="portrait" r:id="rId1"/>
  <headerFooter alignWithMargins="0">
    <oddFooter>&amp;C&amp;P</oddFooter>
  </headerFooter>
  <rowBreaks count="16" manualBreakCount="16">
    <brk id="62" max="16383" man="1"/>
    <brk id="113" max="16383" man="1"/>
    <brk id="174" max="16383" man="1"/>
    <brk id="242" max="16383" man="1"/>
    <brk id="304" max="16383" man="1"/>
    <brk id="367" max="16383" man="1"/>
    <brk id="405" max="16383" man="1"/>
    <brk id="468" max="16383" man="1"/>
    <brk id="522" max="16383" man="1"/>
    <brk id="586" max="16383" man="1"/>
    <brk id="630" max="16383" man="1"/>
    <brk id="675" max="16383" man="1"/>
    <brk id="716" max="16383" man="1"/>
    <brk id="772" max="16383" man="1"/>
    <brk id="834" max="16383" man="1"/>
    <brk id="881" max="16383" man="1"/>
  </row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130"/>
  <sheetViews>
    <sheetView zoomScaleNormal="100" workbookViewId="0"/>
  </sheetViews>
  <sheetFormatPr defaultRowHeight="12.75" x14ac:dyDescent="0.2"/>
  <cols>
    <col min="1" max="1" width="14.85546875" bestFit="1" customWidth="1"/>
    <col min="2" max="2" width="38.5703125" customWidth="1"/>
    <col min="3" max="3" width="14.28515625" customWidth="1"/>
    <col min="4" max="6" width="13.5703125" customWidth="1"/>
  </cols>
  <sheetData>
    <row r="1" spans="1:6" x14ac:dyDescent="0.2">
      <c r="A1" s="18" t="s">
        <v>1410</v>
      </c>
      <c r="B1" s="4" t="s">
        <v>754</v>
      </c>
      <c r="C1" s="1"/>
      <c r="D1" s="1"/>
      <c r="E1" s="1"/>
      <c r="F1" s="1"/>
    </row>
    <row r="2" spans="1:6" x14ac:dyDescent="0.2">
      <c r="A2" s="18"/>
      <c r="B2" s="4" t="s">
        <v>773</v>
      </c>
      <c r="C2" s="1"/>
      <c r="D2" s="1"/>
      <c r="E2" s="1"/>
      <c r="F2" s="1"/>
    </row>
    <row r="3" spans="1:6" x14ac:dyDescent="0.2">
      <c r="A3" s="18"/>
      <c r="B3" s="251"/>
      <c r="C3" s="1" t="s">
        <v>1410</v>
      </c>
      <c r="D3" s="1" t="s">
        <v>1410</v>
      </c>
      <c r="E3" s="1" t="s">
        <v>1410</v>
      </c>
      <c r="F3" s="1" t="s">
        <v>1410</v>
      </c>
    </row>
    <row r="4" spans="1:6" x14ac:dyDescent="0.2">
      <c r="A4" s="18"/>
      <c r="B4" s="4"/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6" x14ac:dyDescent="0.2">
      <c r="A5" s="18"/>
      <c r="B5" s="4" t="s">
        <v>299</v>
      </c>
      <c r="C5" s="62"/>
    </row>
    <row r="6" spans="1:6" x14ac:dyDescent="0.2">
      <c r="A6" s="18" t="s">
        <v>428</v>
      </c>
      <c r="B6" s="254" t="s">
        <v>1831</v>
      </c>
      <c r="C6" s="66">
        <v>0</v>
      </c>
      <c r="D6" s="8">
        <v>0</v>
      </c>
      <c r="E6" s="8">
        <v>0</v>
      </c>
      <c r="F6" s="8">
        <v>0</v>
      </c>
    </row>
    <row r="7" spans="1:6" x14ac:dyDescent="0.2">
      <c r="A7" s="18" t="s">
        <v>429</v>
      </c>
      <c r="B7" s="254" t="s">
        <v>1832</v>
      </c>
      <c r="C7" s="67">
        <v>0</v>
      </c>
      <c r="D7" s="10">
        <v>0</v>
      </c>
      <c r="E7" s="10">
        <v>0</v>
      </c>
      <c r="F7" s="10">
        <v>0</v>
      </c>
    </row>
    <row r="8" spans="1:6" x14ac:dyDescent="0.2">
      <c r="A8" s="18" t="s">
        <v>430</v>
      </c>
      <c r="B8" s="253" t="s">
        <v>2193</v>
      </c>
      <c r="C8" s="54">
        <v>0</v>
      </c>
      <c r="D8" s="16">
        <v>0</v>
      </c>
      <c r="E8" s="16">
        <v>0</v>
      </c>
      <c r="F8" s="16">
        <v>0</v>
      </c>
    </row>
    <row r="9" spans="1:6" x14ac:dyDescent="0.2">
      <c r="A9" s="18" t="s">
        <v>431</v>
      </c>
      <c r="B9" s="253" t="s">
        <v>2194</v>
      </c>
      <c r="C9" s="54">
        <v>0</v>
      </c>
      <c r="D9" s="16">
        <v>0</v>
      </c>
      <c r="E9" s="16">
        <v>0</v>
      </c>
      <c r="F9" s="16">
        <v>0</v>
      </c>
    </row>
    <row r="10" spans="1:6" x14ac:dyDescent="0.2">
      <c r="A10" s="18" t="s">
        <v>432</v>
      </c>
      <c r="B10" s="253" t="s">
        <v>2195</v>
      </c>
      <c r="C10" s="54">
        <v>0</v>
      </c>
      <c r="D10" s="16">
        <v>0</v>
      </c>
      <c r="E10" s="16">
        <v>0</v>
      </c>
      <c r="F10" s="16">
        <v>0</v>
      </c>
    </row>
    <row r="11" spans="1:6" x14ac:dyDescent="0.2">
      <c r="A11" s="18" t="s">
        <v>433</v>
      </c>
      <c r="B11" s="254" t="s">
        <v>1746</v>
      </c>
      <c r="C11" s="54">
        <v>0.03</v>
      </c>
      <c r="D11" s="16">
        <v>0</v>
      </c>
      <c r="E11" s="16">
        <v>0</v>
      </c>
      <c r="F11" s="16">
        <v>0</v>
      </c>
    </row>
    <row r="12" spans="1:6" x14ac:dyDescent="0.2">
      <c r="A12" s="18" t="s">
        <v>183</v>
      </c>
      <c r="B12" s="254" t="s">
        <v>1885</v>
      </c>
      <c r="C12" s="63">
        <v>0</v>
      </c>
      <c r="D12" s="12">
        <v>0</v>
      </c>
      <c r="E12" s="12">
        <v>0</v>
      </c>
      <c r="F12" s="12">
        <v>0</v>
      </c>
    </row>
    <row r="13" spans="1:6" ht="13.5" thickBot="1" x14ac:dyDescent="0.25">
      <c r="A13" s="18" t="s">
        <v>1410</v>
      </c>
      <c r="B13" s="6" t="s">
        <v>129</v>
      </c>
      <c r="C13" s="71">
        <f>SUM(C6:C12)</f>
        <v>0.03</v>
      </c>
      <c r="D13" s="17">
        <f>SUM(D6:D12)</f>
        <v>0</v>
      </c>
      <c r="E13" s="17">
        <f>SUM(E6:E12)</f>
        <v>0</v>
      </c>
      <c r="F13" s="17">
        <f>SUM(F6:F12)</f>
        <v>0</v>
      </c>
    </row>
    <row r="14" spans="1:6" ht="13.5" thickTop="1" x14ac:dyDescent="0.2">
      <c r="C14" s="62"/>
    </row>
    <row r="15" spans="1:6" x14ac:dyDescent="0.2">
      <c r="A15" s="61"/>
      <c r="B15" s="4" t="s">
        <v>844</v>
      </c>
      <c r="C15" s="62"/>
    </row>
    <row r="16" spans="1:6" x14ac:dyDescent="0.2">
      <c r="A16" s="264">
        <v>470.4</v>
      </c>
      <c r="B16" s="4" t="s">
        <v>1829</v>
      </c>
      <c r="C16" s="72"/>
      <c r="D16" s="54"/>
      <c r="E16" s="72"/>
      <c r="F16" s="72"/>
    </row>
    <row r="17" spans="1:6" x14ac:dyDescent="0.2">
      <c r="A17" s="268" t="s">
        <v>2100</v>
      </c>
      <c r="B17" s="254" t="s">
        <v>1887</v>
      </c>
      <c r="C17" s="82">
        <v>0</v>
      </c>
      <c r="D17" s="82">
        <v>70.2</v>
      </c>
      <c r="E17" s="63">
        <v>0</v>
      </c>
      <c r="F17" s="82">
        <v>0</v>
      </c>
    </row>
    <row r="18" spans="1:6" x14ac:dyDescent="0.2">
      <c r="A18" s="37"/>
      <c r="B18" s="6"/>
      <c r="C18" s="263">
        <f t="shared" ref="C18:F18" si="0">+C17</f>
        <v>0</v>
      </c>
      <c r="D18" s="263">
        <f t="shared" si="0"/>
        <v>70.2</v>
      </c>
      <c r="E18" s="263">
        <f t="shared" si="0"/>
        <v>0</v>
      </c>
      <c r="F18" s="263">
        <f t="shared" si="0"/>
        <v>0</v>
      </c>
    </row>
    <row r="19" spans="1:6" x14ac:dyDescent="0.2">
      <c r="A19" s="37">
        <v>470.572</v>
      </c>
      <c r="B19" s="6"/>
      <c r="C19" s="16"/>
      <c r="D19" s="16"/>
      <c r="E19" s="16"/>
      <c r="F19" s="16"/>
    </row>
    <row r="20" spans="1:6" x14ac:dyDescent="0.2">
      <c r="A20" s="18" t="s">
        <v>1532</v>
      </c>
      <c r="B20" s="253" t="s">
        <v>2196</v>
      </c>
      <c r="C20" s="66">
        <v>0</v>
      </c>
      <c r="D20" s="8">
        <v>0</v>
      </c>
      <c r="E20" s="8">
        <v>0</v>
      </c>
      <c r="F20" s="8">
        <v>0</v>
      </c>
    </row>
    <row r="21" spans="1:6" x14ac:dyDescent="0.2">
      <c r="A21" s="18" t="s">
        <v>1533</v>
      </c>
      <c r="B21" s="253" t="s">
        <v>1892</v>
      </c>
      <c r="C21" s="67">
        <v>0</v>
      </c>
      <c r="D21" s="10">
        <v>0</v>
      </c>
      <c r="E21" s="10">
        <v>0</v>
      </c>
      <c r="F21" s="10">
        <v>0</v>
      </c>
    </row>
    <row r="22" spans="1:6" x14ac:dyDescent="0.2">
      <c r="A22" s="18" t="s">
        <v>1534</v>
      </c>
      <c r="B22" s="253" t="s">
        <v>1893</v>
      </c>
      <c r="C22" s="67">
        <v>0</v>
      </c>
      <c r="D22" s="10">
        <v>0</v>
      </c>
      <c r="E22" s="10">
        <v>0</v>
      </c>
      <c r="F22" s="10">
        <v>0</v>
      </c>
    </row>
    <row r="23" spans="1:6" x14ac:dyDescent="0.2">
      <c r="A23" s="18" t="s">
        <v>1541</v>
      </c>
      <c r="B23" s="253" t="s">
        <v>1895</v>
      </c>
      <c r="C23" s="67">
        <v>0</v>
      </c>
      <c r="D23" s="10">
        <v>0</v>
      </c>
      <c r="E23" s="10">
        <v>0</v>
      </c>
      <c r="F23" s="10">
        <v>0</v>
      </c>
    </row>
    <row r="24" spans="1:6" x14ac:dyDescent="0.2">
      <c r="A24" s="18" t="s">
        <v>1535</v>
      </c>
      <c r="B24" s="253" t="s">
        <v>1896</v>
      </c>
      <c r="C24" s="67">
        <v>0</v>
      </c>
      <c r="D24" s="10">
        <v>0</v>
      </c>
      <c r="E24" s="10">
        <v>0</v>
      </c>
      <c r="F24" s="10">
        <v>0</v>
      </c>
    </row>
    <row r="25" spans="1:6" x14ac:dyDescent="0.2">
      <c r="A25" s="18" t="s">
        <v>1536</v>
      </c>
      <c r="B25" s="253" t="s">
        <v>1897</v>
      </c>
      <c r="C25" s="34">
        <v>0</v>
      </c>
      <c r="D25" s="28">
        <v>0</v>
      </c>
      <c r="E25" s="28">
        <v>0</v>
      </c>
      <c r="F25" s="28">
        <v>0</v>
      </c>
    </row>
    <row r="26" spans="1:6" x14ac:dyDescent="0.2">
      <c r="A26" s="18" t="s">
        <v>1537</v>
      </c>
      <c r="B26" s="253" t="s">
        <v>1899</v>
      </c>
      <c r="C26" s="67">
        <v>0</v>
      </c>
      <c r="D26" s="10">
        <v>0</v>
      </c>
      <c r="E26" s="10">
        <v>0</v>
      </c>
      <c r="F26" s="10">
        <v>0</v>
      </c>
    </row>
    <row r="27" spans="1:6" x14ac:dyDescent="0.2">
      <c r="A27" s="18" t="s">
        <v>1539</v>
      </c>
      <c r="B27" s="253" t="s">
        <v>1900</v>
      </c>
      <c r="C27" s="67">
        <v>0</v>
      </c>
      <c r="D27" s="10">
        <v>0</v>
      </c>
      <c r="E27" s="10">
        <v>0</v>
      </c>
      <c r="F27" s="10">
        <v>0</v>
      </c>
    </row>
    <row r="28" spans="1:6" x14ac:dyDescent="0.2">
      <c r="A28" s="18" t="s">
        <v>1538</v>
      </c>
      <c r="B28" s="253" t="s">
        <v>1901</v>
      </c>
      <c r="C28" s="67">
        <v>0</v>
      </c>
      <c r="D28" s="10">
        <v>0</v>
      </c>
      <c r="E28" s="10">
        <v>0</v>
      </c>
      <c r="F28" s="10">
        <v>0</v>
      </c>
    </row>
    <row r="29" spans="1:6" x14ac:dyDescent="0.2">
      <c r="A29" s="18" t="s">
        <v>1540</v>
      </c>
      <c r="B29" s="253" t="s">
        <v>1902</v>
      </c>
      <c r="C29" s="67">
        <v>0</v>
      </c>
      <c r="D29" s="10">
        <v>0</v>
      </c>
      <c r="E29" s="10">
        <v>0</v>
      </c>
      <c r="F29" s="10">
        <v>0</v>
      </c>
    </row>
    <row r="30" spans="1:6" x14ac:dyDescent="0.2">
      <c r="A30" s="18" t="s">
        <v>1354</v>
      </c>
      <c r="B30" s="253" t="s">
        <v>1976</v>
      </c>
      <c r="C30" s="67">
        <v>0</v>
      </c>
      <c r="D30" s="10">
        <v>0</v>
      </c>
      <c r="E30" s="10">
        <v>0</v>
      </c>
      <c r="F30" s="10">
        <v>0</v>
      </c>
    </row>
    <row r="31" spans="1:6" x14ac:dyDescent="0.2">
      <c r="A31" s="18" t="s">
        <v>1542</v>
      </c>
      <c r="B31" s="253" t="s">
        <v>1904</v>
      </c>
      <c r="C31" s="63">
        <v>0</v>
      </c>
      <c r="D31" s="12">
        <v>0</v>
      </c>
      <c r="E31" s="12">
        <v>0</v>
      </c>
      <c r="F31" s="12">
        <v>0</v>
      </c>
    </row>
    <row r="32" spans="1:6" x14ac:dyDescent="0.2">
      <c r="A32" s="18"/>
      <c r="C32" s="36">
        <f t="shared" ref="C32:F32" si="1">SUM(C20:C31)</f>
        <v>0</v>
      </c>
      <c r="D32" s="36">
        <f t="shared" si="1"/>
        <v>0</v>
      </c>
      <c r="E32" s="36">
        <f t="shared" si="1"/>
        <v>0</v>
      </c>
      <c r="F32" s="36">
        <f t="shared" si="1"/>
        <v>0</v>
      </c>
    </row>
    <row r="33" spans="1:6" x14ac:dyDescent="0.2">
      <c r="A33" s="18"/>
      <c r="C33" s="54"/>
      <c r="D33" s="16"/>
      <c r="E33" s="16"/>
      <c r="F33" s="16"/>
    </row>
    <row r="34" spans="1:6" ht="13.5" thickBot="1" x14ac:dyDescent="0.25">
      <c r="A34" s="18"/>
      <c r="B34" s="6" t="s">
        <v>1319</v>
      </c>
      <c r="C34" s="78">
        <f>SUM(C20:C31)</f>
        <v>0</v>
      </c>
      <c r="D34" s="14">
        <f>+D32+D18</f>
        <v>70.2</v>
      </c>
      <c r="E34" s="14">
        <f>SUM(E20:E31)</f>
        <v>0</v>
      </c>
      <c r="F34" s="14">
        <f>SUM(F20:F31)</f>
        <v>0</v>
      </c>
    </row>
    <row r="35" spans="1:6" ht="13.5" thickTop="1" x14ac:dyDescent="0.2">
      <c r="C35" s="62"/>
    </row>
    <row r="36" spans="1:6" x14ac:dyDescent="0.2">
      <c r="A36" s="18"/>
      <c r="B36" s="4" t="s">
        <v>638</v>
      </c>
      <c r="C36" s="62"/>
    </row>
    <row r="37" spans="1:6" x14ac:dyDescent="0.2">
      <c r="A37" s="18"/>
      <c r="B37" s="4" t="s">
        <v>773</v>
      </c>
      <c r="C37" s="62"/>
    </row>
    <row r="38" spans="1:6" x14ac:dyDescent="0.2">
      <c r="A38" s="18"/>
      <c r="B38" s="4" t="s">
        <v>1321</v>
      </c>
      <c r="C38" s="75" t="s">
        <v>1410</v>
      </c>
      <c r="D38" s="1" t="s">
        <v>1410</v>
      </c>
      <c r="E38" s="1" t="s">
        <v>1410</v>
      </c>
      <c r="F38" s="1" t="s">
        <v>1410</v>
      </c>
    </row>
    <row r="39" spans="1:6" x14ac:dyDescent="0.2">
      <c r="A39" s="18"/>
      <c r="C39" s="77" t="str">
        <f>+C4</f>
        <v>2018 ACTUAL</v>
      </c>
      <c r="D39" s="77" t="str">
        <f>+D4</f>
        <v>2019 ACTUAL</v>
      </c>
      <c r="E39" s="77" t="str">
        <f>+E4</f>
        <v>2020 BUDGET</v>
      </c>
      <c r="F39" s="77" t="str">
        <f>+F4</f>
        <v>2021 BUDGET</v>
      </c>
    </row>
    <row r="40" spans="1:6" x14ac:dyDescent="0.2">
      <c r="A40" s="18"/>
      <c r="C40" s="75"/>
      <c r="D40" s="1"/>
      <c r="E40" s="1"/>
      <c r="F40" s="1"/>
    </row>
    <row r="41" spans="1:6" x14ac:dyDescent="0.2">
      <c r="A41" s="18"/>
      <c r="B41" t="s">
        <v>1322</v>
      </c>
      <c r="C41" s="66">
        <v>70.070000000000007</v>
      </c>
      <c r="D41" s="8">
        <f>C49</f>
        <v>70.100000000000009</v>
      </c>
      <c r="E41" s="8">
        <f>D49</f>
        <v>-9.9999999999994316E-2</v>
      </c>
      <c r="F41" s="8">
        <f>E49</f>
        <v>-9.9999999999994316E-2</v>
      </c>
    </row>
    <row r="42" spans="1:6" x14ac:dyDescent="0.2">
      <c r="A42" s="18"/>
      <c r="C42" s="62"/>
    </row>
    <row r="43" spans="1:6" x14ac:dyDescent="0.2">
      <c r="A43" s="18"/>
      <c r="B43" t="s">
        <v>1323</v>
      </c>
      <c r="C43" s="67">
        <f>C13</f>
        <v>0.03</v>
      </c>
      <c r="D43" s="10">
        <f>D13</f>
        <v>0</v>
      </c>
      <c r="E43" s="10">
        <f>E13</f>
        <v>0</v>
      </c>
      <c r="F43" s="10">
        <f>F13</f>
        <v>0</v>
      </c>
    </row>
    <row r="44" spans="1:6" x14ac:dyDescent="0.2">
      <c r="A44" s="18"/>
      <c r="C44" s="67"/>
      <c r="D44" s="10"/>
      <c r="E44" s="10"/>
      <c r="F44" s="10"/>
    </row>
    <row r="45" spans="1:6" x14ac:dyDescent="0.2">
      <c r="A45" s="18"/>
      <c r="B45" t="s">
        <v>1324</v>
      </c>
      <c r="C45" s="67">
        <f>C34</f>
        <v>0</v>
      </c>
      <c r="D45" s="10">
        <f>D34</f>
        <v>70.2</v>
      </c>
      <c r="E45" s="10">
        <f>E34</f>
        <v>0</v>
      </c>
      <c r="F45" s="10">
        <f>F34</f>
        <v>0</v>
      </c>
    </row>
    <row r="46" spans="1:6" x14ac:dyDescent="0.2">
      <c r="A46" s="18"/>
      <c r="C46" s="67"/>
      <c r="D46" s="10"/>
      <c r="E46" s="10"/>
      <c r="F46" s="10"/>
    </row>
    <row r="47" spans="1:6" x14ac:dyDescent="0.2">
      <c r="A47" s="18"/>
      <c r="B47" t="s">
        <v>1325</v>
      </c>
      <c r="C47" s="63">
        <v>0</v>
      </c>
      <c r="D47" s="12">
        <v>0</v>
      </c>
      <c r="E47" s="12">
        <v>0</v>
      </c>
      <c r="F47" s="12">
        <v>0</v>
      </c>
    </row>
    <row r="48" spans="1:6" x14ac:dyDescent="0.2">
      <c r="A48" s="18"/>
      <c r="C48" s="54"/>
      <c r="D48" s="16"/>
      <c r="E48" s="16"/>
      <c r="F48" s="16"/>
    </row>
    <row r="49" spans="1:6" ht="13.5" thickBot="1" x14ac:dyDescent="0.25">
      <c r="A49" s="18"/>
      <c r="B49" t="s">
        <v>1326</v>
      </c>
      <c r="C49" s="71">
        <f>C41+C43-C45+C47</f>
        <v>70.100000000000009</v>
      </c>
      <c r="D49" s="17">
        <f>D41+D43-D45+D47</f>
        <v>-9.9999999999994316E-2</v>
      </c>
      <c r="E49" s="17">
        <f>E41+E43-E45+E47</f>
        <v>-9.9999999999994316E-2</v>
      </c>
      <c r="F49" s="17">
        <f>F41+F43-F45+F47</f>
        <v>-9.9999999999994316E-2</v>
      </c>
    </row>
    <row r="50" spans="1:6" ht="13.5" thickTop="1" x14ac:dyDescent="0.2"/>
    <row r="130" spans="3:6" x14ac:dyDescent="0.2">
      <c r="C130" s="9"/>
      <c r="D130" s="9"/>
      <c r="E130" s="9"/>
      <c r="F130" s="9"/>
    </row>
  </sheetData>
  <phoneticPr fontId="2" type="noConversion"/>
  <pageMargins left="0.5" right="0.5" top="1" bottom="1" header="0.5" footer="0.5"/>
  <pageSetup scale="85" firstPageNumber="41" orientation="portrait" useFirstPageNumber="1" r:id="rId1"/>
  <headerFooter alignWithMargins="0"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F252"/>
  <sheetViews>
    <sheetView zoomScaleNormal="100" workbookViewId="0">
      <selection activeCell="K47" sqref="K47"/>
    </sheetView>
  </sheetViews>
  <sheetFormatPr defaultRowHeight="12.75" x14ac:dyDescent="0.2"/>
  <cols>
    <col min="1" max="1" width="14.85546875" bestFit="1" customWidth="1"/>
    <col min="2" max="2" width="49.140625" customWidth="1"/>
    <col min="3" max="3" width="12.28515625" customWidth="1"/>
    <col min="4" max="5" width="12.5703125" style="62" customWidth="1"/>
    <col min="6" max="6" width="13" style="62" customWidth="1"/>
  </cols>
  <sheetData>
    <row r="1" spans="1:6" x14ac:dyDescent="0.2">
      <c r="A1" s="18" t="s">
        <v>1410</v>
      </c>
      <c r="B1" s="31" t="s">
        <v>638</v>
      </c>
      <c r="C1" s="1" t="s">
        <v>1410</v>
      </c>
      <c r="D1" s="75" t="s">
        <v>1410</v>
      </c>
      <c r="E1" s="75" t="s">
        <v>1410</v>
      </c>
      <c r="F1" s="75" t="s">
        <v>1410</v>
      </c>
    </row>
    <row r="2" spans="1:6" x14ac:dyDescent="0.2">
      <c r="A2" s="18"/>
      <c r="B2" s="4" t="s">
        <v>70</v>
      </c>
      <c r="C2" s="1" t="s">
        <v>1410</v>
      </c>
      <c r="D2" s="75" t="s">
        <v>1410</v>
      </c>
      <c r="E2" s="75" t="s">
        <v>1410</v>
      </c>
      <c r="F2" s="75" t="s">
        <v>1410</v>
      </c>
    </row>
    <row r="3" spans="1:6" x14ac:dyDescent="0.2">
      <c r="A3" s="18"/>
      <c r="B3" s="4" t="s">
        <v>299</v>
      </c>
      <c r="C3" s="1" t="s">
        <v>1410</v>
      </c>
      <c r="D3" s="75" t="s">
        <v>1410</v>
      </c>
      <c r="E3" s="75" t="s">
        <v>1410</v>
      </c>
      <c r="F3" s="75" t="s">
        <v>1410</v>
      </c>
    </row>
    <row r="4" spans="1:6" x14ac:dyDescent="0.2">
      <c r="A4" s="18"/>
      <c r="B4" s="4"/>
      <c r="C4" s="1"/>
      <c r="D4" s="75"/>
      <c r="E4" s="75"/>
      <c r="F4" s="75"/>
    </row>
    <row r="5" spans="1:6" x14ac:dyDescent="0.2">
      <c r="A5" s="18"/>
      <c r="C5" s="7" t="str">
        <f>+'100-Genl'!C4</f>
        <v>2018 ACTUAL</v>
      </c>
      <c r="D5" s="7" t="str">
        <f>+'100-Genl'!D4</f>
        <v>2019 ACTUAL</v>
      </c>
      <c r="E5" s="7" t="str">
        <f>+'100-Genl'!E4</f>
        <v>2020 BUDGET</v>
      </c>
      <c r="F5" s="7" t="str">
        <f>+'100-Genl'!F4</f>
        <v>2021 BUDGET</v>
      </c>
    </row>
    <row r="6" spans="1:6" x14ac:dyDescent="0.2">
      <c r="A6" s="18"/>
      <c r="B6" s="31" t="s">
        <v>1008</v>
      </c>
      <c r="C6" s="62"/>
    </row>
    <row r="7" spans="1:6" hidden="1" x14ac:dyDescent="0.2">
      <c r="A7" s="18" t="s">
        <v>184</v>
      </c>
      <c r="B7" s="33" t="s">
        <v>185</v>
      </c>
      <c r="C7" s="94">
        <v>0</v>
      </c>
      <c r="D7" s="94">
        <v>0</v>
      </c>
      <c r="E7" s="94">
        <v>0</v>
      </c>
      <c r="F7" s="94">
        <v>0</v>
      </c>
    </row>
    <row r="8" spans="1:6" x14ac:dyDescent="0.2">
      <c r="A8" s="18" t="s">
        <v>485</v>
      </c>
      <c r="B8" s="253" t="s">
        <v>2197</v>
      </c>
      <c r="C8" s="81">
        <v>81000</v>
      </c>
      <c r="D8" s="81">
        <v>81000</v>
      </c>
      <c r="E8" s="81">
        <v>81000</v>
      </c>
      <c r="F8" s="81">
        <v>0</v>
      </c>
    </row>
    <row r="9" spans="1:6" ht="12.75" customHeight="1" x14ac:dyDescent="0.2">
      <c r="A9" s="18" t="s">
        <v>490</v>
      </c>
      <c r="B9" s="253" t="s">
        <v>2198</v>
      </c>
      <c r="C9" s="131">
        <v>9500</v>
      </c>
      <c r="D9" s="131">
        <v>10490</v>
      </c>
      <c r="E9" s="131">
        <v>8000</v>
      </c>
      <c r="F9" s="131">
        <v>9000</v>
      </c>
    </row>
    <row r="10" spans="1:6" x14ac:dyDescent="0.2">
      <c r="A10" s="18" t="s">
        <v>486</v>
      </c>
      <c r="B10" s="253" t="s">
        <v>2199</v>
      </c>
      <c r="C10" s="54">
        <v>750</v>
      </c>
      <c r="D10" s="54">
        <v>12513.97</v>
      </c>
      <c r="E10" s="54">
        <v>0</v>
      </c>
      <c r="F10" s="54">
        <v>0</v>
      </c>
    </row>
    <row r="11" spans="1:6" x14ac:dyDescent="0.2">
      <c r="A11" s="18" t="s">
        <v>491</v>
      </c>
      <c r="B11" s="253" t="s">
        <v>2021</v>
      </c>
      <c r="C11" s="82">
        <v>0</v>
      </c>
      <c r="D11" s="82">
        <v>0</v>
      </c>
      <c r="E11" s="82">
        <v>0</v>
      </c>
      <c r="F11" s="82">
        <v>0</v>
      </c>
    </row>
    <row r="12" spans="1:6" x14ac:dyDescent="0.2">
      <c r="A12" s="18" t="s">
        <v>492</v>
      </c>
      <c r="B12" s="253" t="s">
        <v>2200</v>
      </c>
      <c r="C12" s="82">
        <v>9109.93</v>
      </c>
      <c r="D12" s="82">
        <v>11592.12</v>
      </c>
      <c r="E12" s="82">
        <v>10000</v>
      </c>
      <c r="F12" s="82">
        <v>10000</v>
      </c>
    </row>
    <row r="13" spans="1:6" x14ac:dyDescent="0.2">
      <c r="A13" s="18" t="s">
        <v>487</v>
      </c>
      <c r="B13" s="253" t="s">
        <v>2201</v>
      </c>
      <c r="C13" s="67">
        <v>0</v>
      </c>
      <c r="D13" s="67">
        <v>5834.59</v>
      </c>
      <c r="E13" s="67">
        <v>0</v>
      </c>
      <c r="F13" s="67">
        <v>0</v>
      </c>
    </row>
    <row r="14" spans="1:6" x14ac:dyDescent="0.2">
      <c r="A14" s="18" t="s">
        <v>493</v>
      </c>
      <c r="B14" s="253" t="s">
        <v>2202</v>
      </c>
      <c r="C14" s="82">
        <v>0</v>
      </c>
      <c r="D14" s="82">
        <v>0</v>
      </c>
      <c r="E14" s="82">
        <v>0</v>
      </c>
      <c r="F14" s="82">
        <v>0</v>
      </c>
    </row>
    <row r="15" spans="1:6" hidden="1" x14ac:dyDescent="0.2">
      <c r="A15" s="18" t="s">
        <v>186</v>
      </c>
      <c r="B15" s="253" t="s">
        <v>128</v>
      </c>
      <c r="C15" s="67">
        <v>0</v>
      </c>
      <c r="D15" s="67">
        <v>0</v>
      </c>
      <c r="E15" s="67">
        <v>0</v>
      </c>
      <c r="F15" s="67">
        <v>0</v>
      </c>
    </row>
    <row r="16" spans="1:6" hidden="1" x14ac:dyDescent="0.2">
      <c r="A16" s="18" t="s">
        <v>488</v>
      </c>
      <c r="B16" s="253" t="s">
        <v>187</v>
      </c>
      <c r="C16" s="67">
        <v>0</v>
      </c>
      <c r="D16" s="67">
        <v>0</v>
      </c>
      <c r="E16" s="67">
        <v>0</v>
      </c>
      <c r="F16" s="67">
        <v>0</v>
      </c>
    </row>
    <row r="17" spans="1:6" hidden="1" x14ac:dyDescent="0.2">
      <c r="A17" s="18" t="s">
        <v>489</v>
      </c>
      <c r="B17" s="253" t="s">
        <v>447</v>
      </c>
      <c r="C17" s="67">
        <v>0</v>
      </c>
      <c r="D17" s="67">
        <v>0</v>
      </c>
      <c r="E17" s="67">
        <v>0</v>
      </c>
      <c r="F17" s="67">
        <v>0</v>
      </c>
    </row>
    <row r="18" spans="1:6" hidden="1" x14ac:dyDescent="0.2">
      <c r="A18" s="18" t="s">
        <v>1509</v>
      </c>
      <c r="B18" s="253" t="s">
        <v>914</v>
      </c>
      <c r="C18" s="67">
        <v>0</v>
      </c>
      <c r="D18" s="67">
        <v>0</v>
      </c>
      <c r="E18" s="67">
        <v>0</v>
      </c>
      <c r="F18" s="67">
        <v>0</v>
      </c>
    </row>
    <row r="19" spans="1:6" hidden="1" x14ac:dyDescent="0.2">
      <c r="A19" s="18" t="s">
        <v>915</v>
      </c>
      <c r="B19" s="253" t="s">
        <v>916</v>
      </c>
      <c r="C19" s="67">
        <v>0</v>
      </c>
      <c r="D19" s="67">
        <v>0</v>
      </c>
      <c r="E19" s="67">
        <v>0</v>
      </c>
      <c r="F19" s="67">
        <v>0</v>
      </c>
    </row>
    <row r="20" spans="1:6" hidden="1" x14ac:dyDescent="0.2">
      <c r="A20" s="18" t="s">
        <v>917</v>
      </c>
      <c r="B20" s="253" t="s">
        <v>918</v>
      </c>
      <c r="C20" s="67">
        <v>0</v>
      </c>
      <c r="D20" s="67">
        <v>0</v>
      </c>
      <c r="E20" s="67">
        <v>0</v>
      </c>
      <c r="F20" s="67">
        <v>0</v>
      </c>
    </row>
    <row r="21" spans="1:6" hidden="1" x14ac:dyDescent="0.2">
      <c r="A21" s="18" t="s">
        <v>919</v>
      </c>
      <c r="B21" s="253" t="s">
        <v>920</v>
      </c>
      <c r="C21" s="67">
        <v>0</v>
      </c>
      <c r="D21" s="67">
        <v>0</v>
      </c>
      <c r="E21" s="67">
        <v>0</v>
      </c>
      <c r="F21" s="67">
        <v>0</v>
      </c>
    </row>
    <row r="22" spans="1:6" x14ac:dyDescent="0.2">
      <c r="A22" s="129" t="s">
        <v>1724</v>
      </c>
      <c r="B22" s="254" t="s">
        <v>2203</v>
      </c>
      <c r="C22" s="67">
        <v>0</v>
      </c>
      <c r="D22" s="67">
        <v>0</v>
      </c>
      <c r="E22" s="67">
        <v>0</v>
      </c>
      <c r="F22" s="67">
        <v>0</v>
      </c>
    </row>
    <row r="23" spans="1:6" x14ac:dyDescent="0.2">
      <c r="A23" s="129" t="s">
        <v>1583</v>
      </c>
      <c r="B23" s="254" t="s">
        <v>2204</v>
      </c>
      <c r="C23" s="67">
        <v>0</v>
      </c>
      <c r="D23" s="67">
        <v>0</v>
      </c>
      <c r="E23" s="67">
        <v>0</v>
      </c>
      <c r="F23" s="67">
        <v>0</v>
      </c>
    </row>
    <row r="24" spans="1:6" x14ac:dyDescent="0.2">
      <c r="A24" s="129" t="s">
        <v>1601</v>
      </c>
      <c r="B24" s="254" t="s">
        <v>2210</v>
      </c>
      <c r="C24" s="67">
        <v>0</v>
      </c>
      <c r="D24" s="67">
        <v>0</v>
      </c>
      <c r="E24" s="67">
        <v>0</v>
      </c>
      <c r="F24" s="67">
        <v>0</v>
      </c>
    </row>
    <row r="25" spans="1:6" ht="12.75" customHeight="1" x14ac:dyDescent="0.2">
      <c r="A25" s="18" t="s">
        <v>1676</v>
      </c>
      <c r="B25" s="253" t="s">
        <v>2205</v>
      </c>
      <c r="C25" s="67">
        <v>0</v>
      </c>
      <c r="D25" s="67">
        <v>5625</v>
      </c>
      <c r="E25" s="67">
        <v>0</v>
      </c>
      <c r="F25" s="67">
        <v>0</v>
      </c>
    </row>
    <row r="26" spans="1:6" ht="12.75" hidden="1" customHeight="1" x14ac:dyDescent="0.2">
      <c r="A26" s="18" t="s">
        <v>1677</v>
      </c>
      <c r="B26" s="253" t="s">
        <v>1678</v>
      </c>
      <c r="C26" s="67">
        <v>0</v>
      </c>
      <c r="D26" s="67">
        <v>0</v>
      </c>
      <c r="E26" s="67">
        <v>0</v>
      </c>
      <c r="F26" s="67">
        <v>0</v>
      </c>
    </row>
    <row r="27" spans="1:6" ht="12.75" hidden="1" customHeight="1" x14ac:dyDescent="0.2">
      <c r="A27" s="18" t="s">
        <v>1679</v>
      </c>
      <c r="B27" s="253" t="s">
        <v>1680</v>
      </c>
      <c r="C27" s="67">
        <v>0</v>
      </c>
      <c r="D27" s="67">
        <v>0</v>
      </c>
      <c r="E27" s="67">
        <v>0</v>
      </c>
      <c r="F27" s="67">
        <v>0</v>
      </c>
    </row>
    <row r="28" spans="1:6" ht="12.75" customHeight="1" x14ac:dyDescent="0.2">
      <c r="A28" s="61" t="s">
        <v>1796</v>
      </c>
      <c r="B28" s="254" t="s">
        <v>2206</v>
      </c>
      <c r="C28" s="67">
        <v>19788.919999999998</v>
      </c>
      <c r="D28" s="67">
        <v>5211.08</v>
      </c>
      <c r="E28" s="67"/>
      <c r="F28" s="67"/>
    </row>
    <row r="29" spans="1:6" ht="12.75" hidden="1" customHeight="1" x14ac:dyDescent="0.2">
      <c r="A29" s="18" t="s">
        <v>494</v>
      </c>
      <c r="B29" s="253" t="s">
        <v>921</v>
      </c>
      <c r="C29" s="67">
        <v>0</v>
      </c>
      <c r="D29" s="67">
        <v>0</v>
      </c>
      <c r="E29" s="67">
        <v>0</v>
      </c>
      <c r="F29" s="67">
        <v>0</v>
      </c>
    </row>
    <row r="30" spans="1:6" ht="12.75" customHeight="1" x14ac:dyDescent="0.2">
      <c r="A30" s="18" t="s">
        <v>497</v>
      </c>
      <c r="B30" s="253" t="s">
        <v>498</v>
      </c>
      <c r="C30" s="67">
        <v>0</v>
      </c>
      <c r="D30" s="67">
        <v>0</v>
      </c>
      <c r="E30" s="67">
        <v>0</v>
      </c>
      <c r="F30" s="67">
        <v>0</v>
      </c>
    </row>
    <row r="31" spans="1:6" ht="12.75" customHeight="1" x14ac:dyDescent="0.2">
      <c r="A31" s="18" t="s">
        <v>499</v>
      </c>
      <c r="B31" s="253" t="s">
        <v>82</v>
      </c>
      <c r="C31" s="67">
        <v>0</v>
      </c>
      <c r="D31" s="67">
        <v>0</v>
      </c>
      <c r="E31" s="67">
        <v>0</v>
      </c>
      <c r="F31" s="67">
        <v>0</v>
      </c>
    </row>
    <row r="32" spans="1:6" ht="12.75" customHeight="1" x14ac:dyDescent="0.2">
      <c r="A32" s="129" t="s">
        <v>1597</v>
      </c>
      <c r="B32" s="254" t="s">
        <v>1596</v>
      </c>
      <c r="C32" s="67">
        <v>0</v>
      </c>
      <c r="D32" s="67">
        <v>0</v>
      </c>
      <c r="E32" s="67">
        <v>0</v>
      </c>
      <c r="F32" s="67">
        <v>0</v>
      </c>
    </row>
    <row r="33" spans="1:6" x14ac:dyDescent="0.2">
      <c r="A33" s="18" t="s">
        <v>500</v>
      </c>
      <c r="B33" s="253" t="s">
        <v>1362</v>
      </c>
      <c r="C33" s="67">
        <v>0</v>
      </c>
      <c r="D33" s="67">
        <v>0</v>
      </c>
      <c r="E33" s="67">
        <v>0</v>
      </c>
      <c r="F33" s="67">
        <v>0</v>
      </c>
    </row>
    <row r="34" spans="1:6" x14ac:dyDescent="0.2">
      <c r="A34" s="79" t="s">
        <v>367</v>
      </c>
      <c r="B34" s="262" t="s">
        <v>2207</v>
      </c>
      <c r="C34" s="67">
        <v>0</v>
      </c>
      <c r="D34" s="67">
        <v>0</v>
      </c>
      <c r="E34" s="67">
        <v>0</v>
      </c>
      <c r="F34" s="67">
        <v>0</v>
      </c>
    </row>
    <row r="35" spans="1:6" ht="12.75" customHeight="1" x14ac:dyDescent="0.2">
      <c r="A35" s="79" t="s">
        <v>495</v>
      </c>
      <c r="B35" s="262" t="s">
        <v>2208</v>
      </c>
      <c r="C35" s="67">
        <v>0</v>
      </c>
      <c r="D35" s="67">
        <v>0</v>
      </c>
      <c r="E35" s="67">
        <v>0</v>
      </c>
      <c r="F35" s="67">
        <v>0</v>
      </c>
    </row>
    <row r="36" spans="1:6" ht="12.75" customHeight="1" x14ac:dyDescent="0.2">
      <c r="A36" s="79" t="s">
        <v>79</v>
      </c>
      <c r="B36" s="262" t="s">
        <v>2209</v>
      </c>
      <c r="C36" s="67">
        <v>0</v>
      </c>
      <c r="D36" s="67">
        <v>0</v>
      </c>
      <c r="E36" s="67">
        <v>0</v>
      </c>
      <c r="F36" s="67">
        <v>0</v>
      </c>
    </row>
    <row r="37" spans="1:6" x14ac:dyDescent="0.2">
      <c r="A37" s="18"/>
      <c r="B37" s="6" t="s">
        <v>1007</v>
      </c>
      <c r="C37" s="132">
        <f>SUM(C7:C36)</f>
        <v>120148.84999999999</v>
      </c>
      <c r="D37" s="132">
        <f>SUM(D7:D36)</f>
        <v>132266.75999999998</v>
      </c>
      <c r="E37" s="132">
        <f>SUM(E7:E36)</f>
        <v>99000</v>
      </c>
      <c r="F37" s="132">
        <f>SUM(F7:F36)</f>
        <v>19000</v>
      </c>
    </row>
    <row r="38" spans="1:6" x14ac:dyDescent="0.2">
      <c r="A38" s="18"/>
      <c r="B38" s="6"/>
      <c r="C38" s="72"/>
      <c r="D38" s="72"/>
      <c r="E38" s="72"/>
      <c r="F38" s="72"/>
    </row>
    <row r="39" spans="1:6" x14ac:dyDescent="0.2">
      <c r="A39" s="18"/>
      <c r="B39" s="31" t="s">
        <v>1557</v>
      </c>
      <c r="C39" s="72"/>
      <c r="D39" s="72"/>
      <c r="E39" s="72"/>
      <c r="F39" s="72"/>
    </row>
    <row r="40" spans="1:6" x14ac:dyDescent="0.2">
      <c r="A40" s="18" t="s">
        <v>496</v>
      </c>
      <c r="B40" s="253" t="s">
        <v>1746</v>
      </c>
      <c r="C40" s="66">
        <v>386.35</v>
      </c>
      <c r="D40" s="66">
        <v>363.86</v>
      </c>
      <c r="E40" s="66">
        <v>0</v>
      </c>
      <c r="F40" s="66">
        <v>0</v>
      </c>
    </row>
    <row r="41" spans="1:6" x14ac:dyDescent="0.2">
      <c r="A41" s="18"/>
      <c r="B41" s="6" t="s">
        <v>1007</v>
      </c>
      <c r="C41" s="69">
        <f>SUM(C40)</f>
        <v>386.35</v>
      </c>
      <c r="D41" s="69">
        <f>SUM(D40)</f>
        <v>363.86</v>
      </c>
      <c r="E41" s="69">
        <f>SUM(E40)</f>
        <v>0</v>
      </c>
      <c r="F41" s="69">
        <f>SUM(F40)</f>
        <v>0</v>
      </c>
    </row>
    <row r="42" spans="1:6" x14ac:dyDescent="0.2">
      <c r="C42" s="62"/>
    </row>
    <row r="43" spans="1:6" ht="13.5" thickBot="1" x14ac:dyDescent="0.25">
      <c r="A43" s="18"/>
      <c r="B43" s="6" t="s">
        <v>129</v>
      </c>
      <c r="C43" s="71">
        <f>C37+C41</f>
        <v>120535.2</v>
      </c>
      <c r="D43" s="71">
        <f>D37+D41</f>
        <v>132630.61999999997</v>
      </c>
      <c r="E43" s="71">
        <f>E37+E41</f>
        <v>99000</v>
      </c>
      <c r="F43" s="71">
        <f>F37+F41</f>
        <v>19000</v>
      </c>
    </row>
    <row r="44" spans="1:6" ht="13.5" thickTop="1" x14ac:dyDescent="0.2">
      <c r="B44" s="6"/>
      <c r="C44" s="72"/>
      <c r="D44" s="72"/>
      <c r="E44" s="72"/>
      <c r="F44" s="72"/>
    </row>
    <row r="45" spans="1:6" x14ac:dyDescent="0.2">
      <c r="B45" s="6"/>
      <c r="C45" s="72"/>
      <c r="D45" s="72"/>
      <c r="E45" s="72"/>
      <c r="F45" s="72"/>
    </row>
    <row r="46" spans="1:6" x14ac:dyDescent="0.2">
      <c r="B46" s="6"/>
      <c r="C46" s="72"/>
      <c r="D46" s="72"/>
      <c r="E46" s="72"/>
      <c r="F46" s="72"/>
    </row>
    <row r="47" spans="1:6" x14ac:dyDescent="0.2">
      <c r="B47" s="6"/>
      <c r="C47" s="72"/>
      <c r="D47" s="72"/>
      <c r="E47" s="72"/>
      <c r="F47" s="72"/>
    </row>
    <row r="48" spans="1:6" x14ac:dyDescent="0.2">
      <c r="B48" s="6"/>
      <c r="C48" s="72"/>
      <c r="D48" s="72"/>
      <c r="E48" s="72"/>
      <c r="F48" s="72"/>
    </row>
    <row r="49" spans="1:6" x14ac:dyDescent="0.2">
      <c r="B49" s="6"/>
      <c r="C49" s="72"/>
      <c r="D49" s="72"/>
      <c r="E49" s="72"/>
      <c r="F49" s="72"/>
    </row>
    <row r="50" spans="1:6" x14ac:dyDescent="0.2">
      <c r="A50" s="18"/>
      <c r="B50" s="31" t="s">
        <v>638</v>
      </c>
      <c r="C50" s="75" t="s">
        <v>1410</v>
      </c>
      <c r="D50" s="75" t="s">
        <v>1410</v>
      </c>
      <c r="E50" s="75" t="s">
        <v>1410</v>
      </c>
      <c r="F50" s="75" t="s">
        <v>1410</v>
      </c>
    </row>
    <row r="51" spans="1:6" x14ac:dyDescent="0.2">
      <c r="A51" s="18"/>
      <c r="B51" s="4" t="s">
        <v>70</v>
      </c>
      <c r="C51" s="75" t="s">
        <v>1529</v>
      </c>
      <c r="D51" s="75" t="s">
        <v>1529</v>
      </c>
      <c r="E51" s="75" t="s">
        <v>1529</v>
      </c>
      <c r="F51" s="75" t="s">
        <v>1529</v>
      </c>
    </row>
    <row r="52" spans="1:6" x14ac:dyDescent="0.2">
      <c r="A52" s="18"/>
      <c r="B52" s="31" t="s">
        <v>844</v>
      </c>
      <c r="C52" s="75" t="s">
        <v>1410</v>
      </c>
      <c r="D52" s="75" t="s">
        <v>1410</v>
      </c>
      <c r="E52" s="75" t="s">
        <v>1410</v>
      </c>
      <c r="F52" s="75" t="s">
        <v>1410</v>
      </c>
    </row>
    <row r="53" spans="1:6" x14ac:dyDescent="0.2">
      <c r="A53" s="18"/>
      <c r="C53" s="77" t="str">
        <f>+C$5</f>
        <v>2018 ACTUAL</v>
      </c>
      <c r="D53" s="77" t="str">
        <f>+D$5</f>
        <v>2019 ACTUAL</v>
      </c>
      <c r="E53" s="77" t="str">
        <f>+E$5</f>
        <v>2020 BUDGET</v>
      </c>
      <c r="F53" s="77" t="str">
        <f>+F$5</f>
        <v>2021 BUDGET</v>
      </c>
    </row>
    <row r="54" spans="1:6" ht="12.75" customHeight="1" x14ac:dyDescent="0.2">
      <c r="A54" s="18" t="s">
        <v>188</v>
      </c>
      <c r="B54" s="31" t="s">
        <v>2021</v>
      </c>
      <c r="C54" s="66"/>
      <c r="D54" s="66"/>
      <c r="E54" s="66"/>
      <c r="F54" s="66"/>
    </row>
    <row r="55" spans="1:6" ht="12.75" customHeight="1" x14ac:dyDescent="0.2">
      <c r="A55" s="18" t="s">
        <v>1407</v>
      </c>
      <c r="B55" s="254" t="s">
        <v>2211</v>
      </c>
      <c r="C55" s="73">
        <v>0</v>
      </c>
      <c r="D55" s="73">
        <v>0</v>
      </c>
      <c r="E55" s="73">
        <v>0</v>
      </c>
      <c r="F55" s="73">
        <v>0</v>
      </c>
    </row>
    <row r="56" spans="1:6" x14ac:dyDescent="0.2">
      <c r="A56" s="18"/>
      <c r="B56" s="6" t="s">
        <v>1007</v>
      </c>
      <c r="C56" s="69">
        <f>SUM(C55:C55)</f>
        <v>0</v>
      </c>
      <c r="D56" s="69">
        <f>SUM(D55:D55)</f>
        <v>0</v>
      </c>
      <c r="E56" s="69">
        <f>SUM(E55:E55)</f>
        <v>0</v>
      </c>
      <c r="F56" s="69">
        <f>SUM(F55:F55)</f>
        <v>0</v>
      </c>
    </row>
    <row r="57" spans="1:6" x14ac:dyDescent="0.2">
      <c r="A57" s="18"/>
      <c r="B57" s="32"/>
      <c r="C57" s="67"/>
      <c r="D57" s="67"/>
      <c r="E57" s="67"/>
      <c r="F57" s="67"/>
    </row>
    <row r="58" spans="1:6" x14ac:dyDescent="0.2">
      <c r="A58" s="18" t="s">
        <v>1478</v>
      </c>
      <c r="B58" s="4" t="s">
        <v>2212</v>
      </c>
      <c r="C58" s="62"/>
    </row>
    <row r="59" spans="1:6" x14ac:dyDescent="0.2">
      <c r="A59" s="18" t="s">
        <v>1479</v>
      </c>
      <c r="B59" s="253" t="s">
        <v>2222</v>
      </c>
      <c r="C59" s="66">
        <v>81000</v>
      </c>
      <c r="D59" s="66">
        <v>81000</v>
      </c>
      <c r="E59" s="66">
        <v>81000</v>
      </c>
      <c r="F59" s="66">
        <v>0</v>
      </c>
    </row>
    <row r="60" spans="1:6" x14ac:dyDescent="0.2">
      <c r="A60" s="18" t="s">
        <v>1480</v>
      </c>
      <c r="B60" s="253" t="s">
        <v>1893</v>
      </c>
      <c r="C60" s="67">
        <v>0</v>
      </c>
      <c r="D60" s="67">
        <v>0</v>
      </c>
      <c r="E60" s="67">
        <v>0</v>
      </c>
      <c r="F60" s="67">
        <v>0</v>
      </c>
    </row>
    <row r="61" spans="1:6" x14ac:dyDescent="0.2">
      <c r="A61" s="18" t="s">
        <v>1481</v>
      </c>
      <c r="B61" s="253" t="s">
        <v>1895</v>
      </c>
      <c r="C61" s="67">
        <v>0</v>
      </c>
      <c r="D61" s="67">
        <v>0</v>
      </c>
      <c r="E61" s="67">
        <v>0</v>
      </c>
      <c r="F61" s="67">
        <v>0</v>
      </c>
    </row>
    <row r="62" spans="1:6" x14ac:dyDescent="0.2">
      <c r="A62" s="18" t="s">
        <v>1482</v>
      </c>
      <c r="B62" s="253" t="s">
        <v>2223</v>
      </c>
      <c r="C62" s="67">
        <v>0</v>
      </c>
      <c r="D62" s="67">
        <v>0</v>
      </c>
      <c r="E62" s="67">
        <v>0</v>
      </c>
      <c r="F62" s="67">
        <v>0</v>
      </c>
    </row>
    <row r="63" spans="1:6" x14ac:dyDescent="0.2">
      <c r="A63" s="18" t="s">
        <v>1483</v>
      </c>
      <c r="B63" s="253" t="s">
        <v>2224</v>
      </c>
      <c r="C63" s="63">
        <v>0</v>
      </c>
      <c r="D63" s="63">
        <v>0</v>
      </c>
      <c r="E63" s="63">
        <v>0</v>
      </c>
      <c r="F63" s="63">
        <v>0</v>
      </c>
    </row>
    <row r="64" spans="1:6" x14ac:dyDescent="0.2">
      <c r="A64" s="18"/>
      <c r="B64" s="6" t="s">
        <v>1007</v>
      </c>
      <c r="C64" s="69">
        <f>SUM(C59:C63)</f>
        <v>81000</v>
      </c>
      <c r="D64" s="69">
        <f>SUM(D59:D63)</f>
        <v>81000</v>
      </c>
      <c r="E64" s="69">
        <f>SUM(E59:E63)</f>
        <v>81000</v>
      </c>
      <c r="F64" s="69">
        <f>SUM(F59:F63)</f>
        <v>0</v>
      </c>
    </row>
    <row r="65" spans="1:6" x14ac:dyDescent="0.2">
      <c r="A65" s="18"/>
      <c r="B65" s="6"/>
      <c r="C65" s="72"/>
      <c r="D65" s="72"/>
      <c r="E65" s="72"/>
      <c r="F65" s="72"/>
    </row>
    <row r="66" spans="1:6" x14ac:dyDescent="0.2">
      <c r="A66" s="18" t="s">
        <v>1484</v>
      </c>
      <c r="B66" s="31" t="s">
        <v>2213</v>
      </c>
      <c r="C66" s="66" t="s">
        <v>1410</v>
      </c>
      <c r="D66" s="66" t="s">
        <v>1410</v>
      </c>
      <c r="E66" s="66" t="s">
        <v>1410</v>
      </c>
      <c r="F66" s="66" t="s">
        <v>1410</v>
      </c>
    </row>
    <row r="67" spans="1:6" x14ac:dyDescent="0.2">
      <c r="A67" s="18" t="s">
        <v>1485</v>
      </c>
      <c r="B67" s="254" t="s">
        <v>2225</v>
      </c>
      <c r="C67" s="72">
        <v>0</v>
      </c>
      <c r="D67" s="72">
        <v>5834.6</v>
      </c>
      <c r="E67" s="72">
        <v>0</v>
      </c>
      <c r="F67" s="72">
        <v>0</v>
      </c>
    </row>
    <row r="68" spans="1:6" x14ac:dyDescent="0.2">
      <c r="A68" s="18" t="s">
        <v>1486</v>
      </c>
      <c r="B68" s="253" t="s">
        <v>1893</v>
      </c>
      <c r="C68" s="54">
        <v>0</v>
      </c>
      <c r="D68" s="54">
        <v>0</v>
      </c>
      <c r="E68" s="54">
        <v>0</v>
      </c>
      <c r="F68" s="54">
        <v>0</v>
      </c>
    </row>
    <row r="69" spans="1:6" x14ac:dyDescent="0.2">
      <c r="A69" s="18" t="s">
        <v>1487</v>
      </c>
      <c r="B69" s="253" t="s">
        <v>1895</v>
      </c>
      <c r="C69" s="54">
        <v>0</v>
      </c>
      <c r="D69" s="54">
        <v>0</v>
      </c>
      <c r="E69" s="54">
        <v>0</v>
      </c>
      <c r="F69" s="54">
        <v>0</v>
      </c>
    </row>
    <row r="70" spans="1:6" x14ac:dyDescent="0.2">
      <c r="A70" s="18" t="s">
        <v>1489</v>
      </c>
      <c r="B70" s="254" t="s">
        <v>1899</v>
      </c>
      <c r="C70" s="54">
        <v>0</v>
      </c>
      <c r="D70" s="54">
        <v>0</v>
      </c>
      <c r="E70" s="54">
        <v>0</v>
      </c>
      <c r="F70" s="54">
        <v>0</v>
      </c>
    </row>
    <row r="71" spans="1:6" x14ac:dyDescent="0.2">
      <c r="A71" s="18" t="s">
        <v>1488</v>
      </c>
      <c r="B71" s="254" t="s">
        <v>1902</v>
      </c>
      <c r="C71" s="54">
        <v>0</v>
      </c>
      <c r="D71" s="54">
        <v>0</v>
      </c>
      <c r="E71" s="54">
        <v>0</v>
      </c>
      <c r="F71" s="54">
        <v>0</v>
      </c>
    </row>
    <row r="72" spans="1:6" x14ac:dyDescent="0.2">
      <c r="A72" s="18" t="s">
        <v>1490</v>
      </c>
      <c r="B72" s="254" t="s">
        <v>1904</v>
      </c>
      <c r="C72" s="63">
        <v>0</v>
      </c>
      <c r="D72" s="63">
        <v>0</v>
      </c>
      <c r="E72" s="63">
        <v>0</v>
      </c>
      <c r="F72" s="63">
        <v>0</v>
      </c>
    </row>
    <row r="73" spans="1:6" x14ac:dyDescent="0.2">
      <c r="A73" s="18"/>
      <c r="B73" s="6" t="s">
        <v>1007</v>
      </c>
      <c r="C73" s="69">
        <f>SUM(C67:C72)</f>
        <v>0</v>
      </c>
      <c r="D73" s="69">
        <f>SUM(D67:D72)</f>
        <v>5834.6</v>
      </c>
      <c r="E73" s="69">
        <f>SUM(E67:E72)</f>
        <v>0</v>
      </c>
      <c r="F73" s="69">
        <f>SUM(F67:F72)</f>
        <v>0</v>
      </c>
    </row>
    <row r="74" spans="1:6" x14ac:dyDescent="0.2">
      <c r="A74" s="18"/>
      <c r="B74" s="6"/>
      <c r="C74" s="72"/>
      <c r="D74" s="72"/>
      <c r="E74" s="72"/>
      <c r="F74" s="72"/>
    </row>
    <row r="75" spans="1:6" x14ac:dyDescent="0.2">
      <c r="A75" s="18" t="s">
        <v>1491</v>
      </c>
      <c r="B75" s="31" t="s">
        <v>2214</v>
      </c>
      <c r="C75" s="66"/>
      <c r="D75" s="66"/>
      <c r="E75" s="66"/>
      <c r="F75" s="66"/>
    </row>
    <row r="76" spans="1:6" x14ac:dyDescent="0.2">
      <c r="A76" s="18" t="s">
        <v>1492</v>
      </c>
      <c r="B76" s="254" t="s">
        <v>2225</v>
      </c>
      <c r="C76" s="66">
        <v>470.12</v>
      </c>
      <c r="D76" s="66">
        <v>9654.39</v>
      </c>
      <c r="E76" s="66">
        <v>0</v>
      </c>
      <c r="F76" s="66">
        <v>0</v>
      </c>
    </row>
    <row r="77" spans="1:6" x14ac:dyDescent="0.2">
      <c r="A77" s="18" t="s">
        <v>1493</v>
      </c>
      <c r="B77" s="253" t="s">
        <v>1895</v>
      </c>
      <c r="C77" s="67">
        <v>34.36</v>
      </c>
      <c r="D77" s="67">
        <v>724.12</v>
      </c>
      <c r="E77" s="67">
        <v>0</v>
      </c>
      <c r="F77" s="67">
        <v>0</v>
      </c>
    </row>
    <row r="78" spans="1:6" x14ac:dyDescent="0.2">
      <c r="A78" s="18" t="s">
        <v>1494</v>
      </c>
      <c r="B78" s="253" t="s">
        <v>2223</v>
      </c>
      <c r="C78" s="67">
        <v>53.15</v>
      </c>
      <c r="D78" s="67">
        <v>1133.08</v>
      </c>
      <c r="E78" s="67">
        <v>0</v>
      </c>
      <c r="F78" s="67">
        <v>0</v>
      </c>
    </row>
    <row r="79" spans="1:6" x14ac:dyDescent="0.2">
      <c r="A79" s="18" t="s">
        <v>922</v>
      </c>
      <c r="B79" s="253" t="s">
        <v>2224</v>
      </c>
      <c r="C79" s="67">
        <v>0</v>
      </c>
      <c r="D79" s="67">
        <v>0</v>
      </c>
      <c r="E79" s="67">
        <v>0</v>
      </c>
      <c r="F79" s="67">
        <v>0</v>
      </c>
    </row>
    <row r="80" spans="1:6" x14ac:dyDescent="0.2">
      <c r="A80" s="18" t="s">
        <v>189</v>
      </c>
      <c r="B80" s="254" t="s">
        <v>2226</v>
      </c>
      <c r="C80" s="67">
        <v>0</v>
      </c>
      <c r="D80" s="67">
        <v>200</v>
      </c>
      <c r="E80" s="67">
        <v>0</v>
      </c>
      <c r="F80" s="67">
        <v>0</v>
      </c>
    </row>
    <row r="81" spans="1:6" x14ac:dyDescent="0.2">
      <c r="A81" s="18" t="s">
        <v>190</v>
      </c>
      <c r="B81" s="254" t="s">
        <v>2227</v>
      </c>
      <c r="C81" s="67">
        <v>0</v>
      </c>
      <c r="D81" s="67">
        <v>500</v>
      </c>
      <c r="E81" s="67">
        <v>0</v>
      </c>
      <c r="F81" s="67">
        <v>0</v>
      </c>
    </row>
    <row r="82" spans="1:6" x14ac:dyDescent="0.2">
      <c r="A82" s="18" t="s">
        <v>1495</v>
      </c>
      <c r="B82" s="254" t="s">
        <v>1902</v>
      </c>
      <c r="C82" s="63">
        <v>0</v>
      </c>
      <c r="D82" s="63">
        <v>260.08999999999997</v>
      </c>
      <c r="E82" s="63">
        <v>0</v>
      </c>
      <c r="F82" s="63">
        <v>0</v>
      </c>
    </row>
    <row r="83" spans="1:6" x14ac:dyDescent="0.2">
      <c r="A83" s="18"/>
      <c r="B83" s="6" t="s">
        <v>1007</v>
      </c>
      <c r="C83" s="69">
        <f>SUM(C76:C82)</f>
        <v>557.63</v>
      </c>
      <c r="D83" s="69">
        <f>SUM(D76:D82)</f>
        <v>12471.68</v>
      </c>
      <c r="E83" s="69">
        <f>SUM(E76:E82)</f>
        <v>0</v>
      </c>
      <c r="F83" s="69">
        <f>SUM(F76:F82)</f>
        <v>0</v>
      </c>
    </row>
    <row r="84" spans="1:6" x14ac:dyDescent="0.2">
      <c r="A84" s="18"/>
      <c r="B84" s="6"/>
      <c r="C84" s="66"/>
      <c r="D84" s="66"/>
      <c r="E84" s="66"/>
      <c r="F84" s="66"/>
    </row>
    <row r="85" spans="1:6" x14ac:dyDescent="0.2">
      <c r="A85" s="18" t="s">
        <v>47</v>
      </c>
      <c r="B85" s="38" t="s">
        <v>2215</v>
      </c>
      <c r="C85" s="66"/>
      <c r="D85" s="66"/>
      <c r="E85" s="66"/>
      <c r="F85" s="66"/>
    </row>
    <row r="86" spans="1:6" x14ac:dyDescent="0.2">
      <c r="A86" s="18" t="s">
        <v>80</v>
      </c>
      <c r="B86" s="254" t="s">
        <v>2209</v>
      </c>
      <c r="C86" s="73">
        <v>0</v>
      </c>
      <c r="D86" s="73">
        <v>0</v>
      </c>
      <c r="E86" s="73">
        <v>0</v>
      </c>
      <c r="F86" s="73">
        <v>0</v>
      </c>
    </row>
    <row r="87" spans="1:6" x14ac:dyDescent="0.2">
      <c r="A87" s="18"/>
      <c r="B87" s="6" t="s">
        <v>1007</v>
      </c>
      <c r="C87" s="73">
        <f>SUM(C86)</f>
        <v>0</v>
      </c>
      <c r="D87" s="73">
        <f>SUM(D86)</f>
        <v>0</v>
      </c>
      <c r="E87" s="73">
        <f>SUM(E86)</f>
        <v>0</v>
      </c>
      <c r="F87" s="73">
        <f>SUM(F86)</f>
        <v>0</v>
      </c>
    </row>
    <row r="88" spans="1:6" x14ac:dyDescent="0.2">
      <c r="A88" s="18"/>
      <c r="B88" s="6"/>
      <c r="C88" s="66"/>
      <c r="D88" s="66"/>
      <c r="E88" s="66"/>
      <c r="F88" s="66"/>
    </row>
    <row r="89" spans="1:6" x14ac:dyDescent="0.2">
      <c r="A89" s="129" t="s">
        <v>1584</v>
      </c>
      <c r="B89" s="31" t="s">
        <v>2216</v>
      </c>
      <c r="C89" s="66"/>
      <c r="D89" s="66"/>
      <c r="E89" s="66"/>
      <c r="F89" s="66"/>
    </row>
    <row r="90" spans="1:6" x14ac:dyDescent="0.2">
      <c r="A90" s="129" t="s">
        <v>1585</v>
      </c>
      <c r="B90" s="254" t="s">
        <v>2225</v>
      </c>
      <c r="C90" s="66">
        <v>0</v>
      </c>
      <c r="D90" s="66">
        <v>0</v>
      </c>
      <c r="E90" s="66">
        <v>0</v>
      </c>
      <c r="F90" s="66">
        <v>0</v>
      </c>
    </row>
    <row r="91" spans="1:6" x14ac:dyDescent="0.2">
      <c r="A91" s="18" t="s">
        <v>1602</v>
      </c>
      <c r="B91" s="253" t="s">
        <v>1895</v>
      </c>
      <c r="C91" s="67">
        <v>0</v>
      </c>
      <c r="D91" s="67">
        <v>0</v>
      </c>
      <c r="E91" s="67">
        <v>0</v>
      </c>
      <c r="F91" s="67">
        <v>0</v>
      </c>
    </row>
    <row r="92" spans="1:6" x14ac:dyDescent="0.2">
      <c r="A92" s="129" t="s">
        <v>1603</v>
      </c>
      <c r="B92" s="253" t="s">
        <v>2223</v>
      </c>
      <c r="C92" s="54">
        <v>0</v>
      </c>
      <c r="D92" s="54">
        <v>0</v>
      </c>
      <c r="E92" s="54">
        <v>0</v>
      </c>
      <c r="F92" s="54">
        <v>0</v>
      </c>
    </row>
    <row r="93" spans="1:6" x14ac:dyDescent="0.2">
      <c r="A93" s="129" t="s">
        <v>1604</v>
      </c>
      <c r="B93" s="253" t="s">
        <v>2224</v>
      </c>
      <c r="C93" s="63">
        <v>0</v>
      </c>
      <c r="D93" s="63">
        <v>0</v>
      </c>
      <c r="E93" s="63">
        <v>0</v>
      </c>
      <c r="F93" s="63">
        <v>0</v>
      </c>
    </row>
    <row r="94" spans="1:6" x14ac:dyDescent="0.2">
      <c r="A94" s="18"/>
      <c r="B94" s="6" t="s">
        <v>1007</v>
      </c>
      <c r="C94" s="69">
        <f>SUM(C90:C93)</f>
        <v>0</v>
      </c>
      <c r="D94" s="69">
        <f>SUM(D90:D93)</f>
        <v>0</v>
      </c>
      <c r="E94" s="69">
        <f>SUM(E90:E93)</f>
        <v>0</v>
      </c>
      <c r="F94" s="69">
        <f>SUM(F90:F93)</f>
        <v>0</v>
      </c>
    </row>
    <row r="95" spans="1:6" x14ac:dyDescent="0.2">
      <c r="A95" s="18"/>
      <c r="B95" s="6"/>
      <c r="C95" s="66"/>
      <c r="D95" s="66"/>
      <c r="E95" s="66"/>
      <c r="F95" s="66"/>
    </row>
    <row r="96" spans="1:6" x14ac:dyDescent="0.2">
      <c r="A96" s="18" t="s">
        <v>1599</v>
      </c>
      <c r="B96" s="38" t="s">
        <v>2217</v>
      </c>
      <c r="C96" s="66"/>
      <c r="D96" s="66"/>
      <c r="E96" s="66"/>
      <c r="F96" s="66"/>
    </row>
    <row r="97" spans="1:6" x14ac:dyDescent="0.2">
      <c r="A97" s="18" t="s">
        <v>1600</v>
      </c>
      <c r="B97" s="254" t="s">
        <v>2211</v>
      </c>
      <c r="C97" s="66">
        <v>0</v>
      </c>
      <c r="D97" s="66">
        <v>0</v>
      </c>
      <c r="E97" s="66">
        <v>0</v>
      </c>
      <c r="F97" s="66">
        <v>0</v>
      </c>
    </row>
    <row r="98" spans="1:6" x14ac:dyDescent="0.2">
      <c r="A98" s="18"/>
      <c r="B98" s="6" t="s">
        <v>1007</v>
      </c>
      <c r="C98" s="69">
        <f>SUM(C97:C97)</f>
        <v>0</v>
      </c>
      <c r="D98" s="69">
        <f>SUM(D97:D97)</f>
        <v>0</v>
      </c>
      <c r="E98" s="69">
        <f>SUM(E97:E97)</f>
        <v>0</v>
      </c>
      <c r="F98" s="69">
        <f>SUM(F97:F97)</f>
        <v>0</v>
      </c>
    </row>
    <row r="99" spans="1:6" x14ac:dyDescent="0.2">
      <c r="A99" s="18"/>
      <c r="B99" s="6"/>
      <c r="C99" s="72"/>
      <c r="D99" s="72"/>
      <c r="E99" s="72"/>
      <c r="F99" s="72"/>
    </row>
    <row r="100" spans="1:6" ht="15" customHeight="1" x14ac:dyDescent="0.2">
      <c r="A100" s="18" t="s">
        <v>1475</v>
      </c>
      <c r="B100" s="38" t="s">
        <v>2218</v>
      </c>
      <c r="C100" s="66"/>
      <c r="D100" s="66"/>
      <c r="E100" s="66"/>
      <c r="F100" s="66"/>
    </row>
    <row r="101" spans="1:6" ht="15" customHeight="1" x14ac:dyDescent="0.2">
      <c r="A101" s="18" t="s">
        <v>1476</v>
      </c>
      <c r="B101" s="254" t="s">
        <v>2225</v>
      </c>
      <c r="C101" s="66">
        <v>0</v>
      </c>
      <c r="D101" s="66">
        <v>0</v>
      </c>
      <c r="E101" s="66">
        <v>6240</v>
      </c>
      <c r="F101" s="66">
        <v>0</v>
      </c>
    </row>
    <row r="102" spans="1:6" ht="15" customHeight="1" x14ac:dyDescent="0.2">
      <c r="A102" s="18" t="s">
        <v>1477</v>
      </c>
      <c r="B102" s="254" t="s">
        <v>1924</v>
      </c>
      <c r="C102" s="63">
        <v>0</v>
      </c>
      <c r="D102" s="63">
        <v>4397.8</v>
      </c>
      <c r="E102" s="63">
        <v>1760</v>
      </c>
      <c r="F102" s="63">
        <v>4500</v>
      </c>
    </row>
    <row r="103" spans="1:6" ht="15" customHeight="1" x14ac:dyDescent="0.2">
      <c r="A103" s="18"/>
      <c r="B103" s="6" t="s">
        <v>1007</v>
      </c>
      <c r="C103" s="69">
        <f>SUM(C101:C102)</f>
        <v>0</v>
      </c>
      <c r="D103" s="69">
        <f>SUM(D101:D102)</f>
        <v>4397.8</v>
      </c>
      <c r="E103" s="69">
        <f>SUM(E101:E102)</f>
        <v>8000</v>
      </c>
      <c r="F103" s="69">
        <f>SUM(F101:F102)</f>
        <v>4500</v>
      </c>
    </row>
    <row r="104" spans="1:6" ht="15" hidden="1" customHeight="1" x14ac:dyDescent="0.2">
      <c r="A104" s="18"/>
      <c r="B104" s="6"/>
      <c r="C104" s="72"/>
      <c r="D104" s="72"/>
      <c r="E104" s="72"/>
      <c r="F104" s="72"/>
    </row>
    <row r="105" spans="1:6" hidden="1" x14ac:dyDescent="0.2">
      <c r="A105" s="18" t="s">
        <v>1469</v>
      </c>
      <c r="B105" s="38" t="s">
        <v>1470</v>
      </c>
      <c r="C105" s="66"/>
      <c r="D105" s="66"/>
      <c r="E105" s="66"/>
      <c r="F105" s="66"/>
    </row>
    <row r="106" spans="1:6" hidden="1" x14ac:dyDescent="0.2">
      <c r="A106" s="18" t="s">
        <v>1471</v>
      </c>
      <c r="B106" s="32" t="s">
        <v>1011</v>
      </c>
      <c r="C106" s="73">
        <v>0</v>
      </c>
      <c r="D106" s="73">
        <v>0</v>
      </c>
      <c r="E106" s="73">
        <v>0</v>
      </c>
      <c r="F106" s="73">
        <v>0</v>
      </c>
    </row>
    <row r="107" spans="1:6" hidden="1" x14ac:dyDescent="0.2">
      <c r="A107" s="18"/>
      <c r="B107" s="6" t="s">
        <v>1007</v>
      </c>
      <c r="C107" s="69">
        <f>SUM(C106)</f>
        <v>0</v>
      </c>
      <c r="D107" s="69">
        <f>SUM(D106)</f>
        <v>0</v>
      </c>
      <c r="E107" s="69">
        <f>SUM(E106)</f>
        <v>0</v>
      </c>
      <c r="F107" s="69">
        <f>SUM(F106)</f>
        <v>0</v>
      </c>
    </row>
    <row r="108" spans="1:6" hidden="1" x14ac:dyDescent="0.2">
      <c r="A108" s="18"/>
      <c r="B108" s="32"/>
      <c r="C108" s="66"/>
      <c r="D108" s="66"/>
      <c r="E108" s="66"/>
      <c r="F108" s="66"/>
    </row>
    <row r="109" spans="1:6" hidden="1" x14ac:dyDescent="0.2">
      <c r="A109" s="18" t="s">
        <v>435</v>
      </c>
      <c r="B109" s="38" t="s">
        <v>745</v>
      </c>
      <c r="C109" s="66"/>
      <c r="D109" s="66"/>
      <c r="E109" s="66"/>
      <c r="F109" s="66"/>
    </row>
    <row r="110" spans="1:6" hidden="1" x14ac:dyDescent="0.2">
      <c r="A110" s="18" t="s">
        <v>434</v>
      </c>
      <c r="B110" s="32" t="s">
        <v>1011</v>
      </c>
      <c r="C110" s="73">
        <v>0</v>
      </c>
      <c r="D110" s="73">
        <v>0</v>
      </c>
      <c r="E110" s="73">
        <v>0</v>
      </c>
      <c r="F110" s="73">
        <v>0</v>
      </c>
    </row>
    <row r="111" spans="1:6" hidden="1" x14ac:dyDescent="0.2">
      <c r="A111" s="18"/>
      <c r="B111" s="6" t="s">
        <v>1007</v>
      </c>
      <c r="C111" s="69">
        <f>SUM(C110)</f>
        <v>0</v>
      </c>
      <c r="D111" s="69">
        <f>SUM(D110)</f>
        <v>0</v>
      </c>
      <c r="E111" s="69">
        <f>SUM(E110)</f>
        <v>0</v>
      </c>
      <c r="F111" s="69">
        <f>SUM(F110)</f>
        <v>0</v>
      </c>
    </row>
    <row r="112" spans="1:6" ht="12.75" hidden="1" customHeight="1" x14ac:dyDescent="0.2">
      <c r="A112" s="18"/>
      <c r="B112" s="32"/>
      <c r="C112" s="66"/>
      <c r="D112" s="66"/>
      <c r="E112" s="66"/>
      <c r="F112" s="66"/>
    </row>
    <row r="113" spans="1:6" ht="12.75" hidden="1" customHeight="1" x14ac:dyDescent="0.2">
      <c r="A113" s="18" t="s">
        <v>436</v>
      </c>
      <c r="B113" s="38" t="s">
        <v>121</v>
      </c>
      <c r="C113" s="66"/>
      <c r="D113" s="66"/>
      <c r="E113" s="66"/>
      <c r="F113" s="66"/>
    </row>
    <row r="114" spans="1:6" ht="12.75" hidden="1" customHeight="1" x14ac:dyDescent="0.2">
      <c r="A114" s="18" t="s">
        <v>122</v>
      </c>
      <c r="B114" s="32" t="s">
        <v>1011</v>
      </c>
      <c r="C114" s="73">
        <v>0</v>
      </c>
      <c r="D114" s="73">
        <v>0</v>
      </c>
      <c r="E114" s="73">
        <v>0</v>
      </c>
      <c r="F114" s="73">
        <v>0</v>
      </c>
    </row>
    <row r="115" spans="1:6" ht="12.75" hidden="1" customHeight="1" x14ac:dyDescent="0.2">
      <c r="A115" s="18"/>
      <c r="B115" s="6" t="s">
        <v>1007</v>
      </c>
      <c r="C115" s="69">
        <f>SUM(C114)</f>
        <v>0</v>
      </c>
      <c r="D115" s="69">
        <f>SUM(D114)</f>
        <v>0</v>
      </c>
      <c r="E115" s="69">
        <f>SUM(E114)</f>
        <v>0</v>
      </c>
      <c r="F115" s="69">
        <f>SUM(F114)</f>
        <v>0</v>
      </c>
    </row>
    <row r="116" spans="1:6" ht="12.75" hidden="1" customHeight="1" x14ac:dyDescent="0.2">
      <c r="A116" s="18"/>
      <c r="B116" s="6"/>
      <c r="C116" s="66"/>
      <c r="D116" s="66"/>
      <c r="E116" s="66"/>
      <c r="F116" s="66"/>
    </row>
    <row r="117" spans="1:6" ht="12.75" hidden="1" customHeight="1" x14ac:dyDescent="0.2">
      <c r="A117" s="18" t="s">
        <v>923</v>
      </c>
      <c r="B117" s="38" t="s">
        <v>128</v>
      </c>
      <c r="C117" s="66"/>
      <c r="D117" s="66"/>
      <c r="E117" s="66"/>
      <c r="F117" s="66"/>
    </row>
    <row r="118" spans="1:6" ht="12.75" hidden="1" customHeight="1" x14ac:dyDescent="0.2">
      <c r="A118" s="18" t="s">
        <v>924</v>
      </c>
      <c r="B118" s="32" t="s">
        <v>1011</v>
      </c>
      <c r="C118" s="73">
        <v>0</v>
      </c>
      <c r="D118" s="73">
        <v>0</v>
      </c>
      <c r="E118" s="73">
        <v>0</v>
      </c>
      <c r="F118" s="73">
        <v>0</v>
      </c>
    </row>
    <row r="119" spans="1:6" ht="12.75" hidden="1" customHeight="1" x14ac:dyDescent="0.2">
      <c r="A119" s="18"/>
      <c r="B119" s="6" t="s">
        <v>1007</v>
      </c>
      <c r="C119" s="69">
        <f>SUM(C118)</f>
        <v>0</v>
      </c>
      <c r="D119" s="69">
        <f>SUM(D118)</f>
        <v>0</v>
      </c>
      <c r="E119" s="69">
        <f>SUM(E118)</f>
        <v>0</v>
      </c>
      <c r="F119" s="69">
        <f>SUM(F118)</f>
        <v>0</v>
      </c>
    </row>
    <row r="120" spans="1:6" ht="12.75" customHeight="1" x14ac:dyDescent="0.2">
      <c r="A120" s="18"/>
      <c r="B120" s="6"/>
      <c r="C120" s="66"/>
      <c r="D120" s="66"/>
      <c r="E120" s="66"/>
      <c r="F120" s="66"/>
    </row>
    <row r="121" spans="1:6" ht="12.75" hidden="1" customHeight="1" x14ac:dyDescent="0.2">
      <c r="A121" s="18" t="s">
        <v>925</v>
      </c>
      <c r="B121" s="38" t="s">
        <v>926</v>
      </c>
      <c r="C121" s="66"/>
      <c r="D121" s="66"/>
      <c r="E121" s="66"/>
      <c r="F121" s="66"/>
    </row>
    <row r="122" spans="1:6" ht="12.75" hidden="1" customHeight="1" x14ac:dyDescent="0.2">
      <c r="A122" s="18" t="s">
        <v>927</v>
      </c>
      <c r="B122" s="32" t="s">
        <v>1011</v>
      </c>
      <c r="C122" s="73">
        <v>0</v>
      </c>
      <c r="D122" s="73">
        <v>0</v>
      </c>
      <c r="E122" s="73">
        <v>0</v>
      </c>
      <c r="F122" s="73">
        <v>0</v>
      </c>
    </row>
    <row r="123" spans="1:6" hidden="1" x14ac:dyDescent="0.2">
      <c r="A123" s="18"/>
      <c r="B123" s="6" t="s">
        <v>1007</v>
      </c>
      <c r="C123" s="69">
        <f>SUM(C122)</f>
        <v>0</v>
      </c>
      <c r="D123" s="69">
        <f>SUM(D122)</f>
        <v>0</v>
      </c>
      <c r="E123" s="69">
        <f>SUM(E122)</f>
        <v>0</v>
      </c>
      <c r="F123" s="69">
        <f>SUM(F122)</f>
        <v>0</v>
      </c>
    </row>
    <row r="124" spans="1:6" ht="12.75" hidden="1" customHeight="1" x14ac:dyDescent="0.2">
      <c r="A124" s="18"/>
      <c r="B124" s="32"/>
      <c r="C124" s="72"/>
      <c r="D124" s="72"/>
      <c r="E124" s="72"/>
      <c r="F124" s="72"/>
    </row>
    <row r="125" spans="1:6" ht="12.75" hidden="1" customHeight="1" x14ac:dyDescent="0.2">
      <c r="A125" s="18" t="s">
        <v>928</v>
      </c>
      <c r="B125" s="38" t="s">
        <v>191</v>
      </c>
      <c r="C125" s="66"/>
      <c r="D125" s="66"/>
      <c r="E125" s="66"/>
      <c r="F125" s="66"/>
    </row>
    <row r="126" spans="1:6" ht="12.75" hidden="1" customHeight="1" x14ac:dyDescent="0.2">
      <c r="A126" s="18" t="s">
        <v>929</v>
      </c>
      <c r="B126" s="32" t="s">
        <v>1011</v>
      </c>
      <c r="C126" s="73">
        <v>0</v>
      </c>
      <c r="D126" s="73">
        <v>0</v>
      </c>
      <c r="E126" s="73">
        <v>0</v>
      </c>
      <c r="F126" s="73">
        <v>0</v>
      </c>
    </row>
    <row r="127" spans="1:6" hidden="1" x14ac:dyDescent="0.2">
      <c r="A127" s="18"/>
      <c r="B127" s="6" t="s">
        <v>1007</v>
      </c>
      <c r="C127" s="69">
        <f>SUM(C126)</f>
        <v>0</v>
      </c>
      <c r="D127" s="69">
        <f>SUM(D126)</f>
        <v>0</v>
      </c>
      <c r="E127" s="69">
        <f>SUM(E126)</f>
        <v>0</v>
      </c>
      <c r="F127" s="69">
        <f>SUM(F126)</f>
        <v>0</v>
      </c>
    </row>
    <row r="128" spans="1:6" ht="12.75" hidden="1" customHeight="1" x14ac:dyDescent="0.2">
      <c r="A128" s="18"/>
      <c r="B128" s="32"/>
      <c r="C128" s="72"/>
      <c r="D128" s="72"/>
      <c r="E128" s="72"/>
      <c r="F128" s="72"/>
    </row>
    <row r="129" spans="1:6" ht="12.75" hidden="1" customHeight="1" x14ac:dyDescent="0.2">
      <c r="A129" s="18" t="s">
        <v>930</v>
      </c>
      <c r="B129" s="38" t="s">
        <v>931</v>
      </c>
      <c r="C129" s="66"/>
      <c r="D129" s="66"/>
      <c r="E129" s="66"/>
      <c r="F129" s="66"/>
    </row>
    <row r="130" spans="1:6" ht="12.75" hidden="1" customHeight="1" x14ac:dyDescent="0.2">
      <c r="A130" s="18" t="s">
        <v>932</v>
      </c>
      <c r="B130" s="32" t="s">
        <v>1011</v>
      </c>
      <c r="C130" s="73">
        <v>0</v>
      </c>
      <c r="D130" s="73">
        <v>0</v>
      </c>
      <c r="E130" s="73">
        <v>0</v>
      </c>
      <c r="F130" s="73">
        <v>0</v>
      </c>
    </row>
    <row r="131" spans="1:6" hidden="1" x14ac:dyDescent="0.2">
      <c r="A131" s="18"/>
      <c r="B131" s="6" t="s">
        <v>1007</v>
      </c>
      <c r="C131" s="69">
        <f>SUM(C130)</f>
        <v>0</v>
      </c>
      <c r="D131" s="69">
        <f>SUM(D130)</f>
        <v>0</v>
      </c>
      <c r="E131" s="69">
        <f>SUM(E130)</f>
        <v>0</v>
      </c>
      <c r="F131" s="69">
        <f>SUM(F130)</f>
        <v>0</v>
      </c>
    </row>
    <row r="132" spans="1:6" ht="12.75" hidden="1" customHeight="1" x14ac:dyDescent="0.2">
      <c r="A132" s="18"/>
      <c r="B132" s="32"/>
      <c r="C132" s="72"/>
      <c r="D132" s="72"/>
      <c r="E132" s="72"/>
      <c r="F132" s="72"/>
    </row>
    <row r="133" spans="1:6" ht="12.75" hidden="1" customHeight="1" x14ac:dyDescent="0.2">
      <c r="A133" s="18" t="s">
        <v>933</v>
      </c>
      <c r="B133" s="38" t="s">
        <v>298</v>
      </c>
      <c r="C133" s="66"/>
      <c r="D133" s="66"/>
      <c r="E133" s="66"/>
      <c r="F133" s="66"/>
    </row>
    <row r="134" spans="1:6" ht="12.75" hidden="1" customHeight="1" x14ac:dyDescent="0.2">
      <c r="A134" s="18" t="s">
        <v>934</v>
      </c>
      <c r="B134" s="32" t="s">
        <v>1011</v>
      </c>
      <c r="C134" s="73">
        <v>0</v>
      </c>
      <c r="D134" s="73">
        <v>0</v>
      </c>
      <c r="E134" s="73">
        <v>0</v>
      </c>
      <c r="F134" s="73">
        <v>0</v>
      </c>
    </row>
    <row r="135" spans="1:6" hidden="1" x14ac:dyDescent="0.2">
      <c r="A135" s="18"/>
      <c r="B135" s="6" t="s">
        <v>1007</v>
      </c>
      <c r="C135" s="69">
        <f>SUM(C134)</f>
        <v>0</v>
      </c>
      <c r="D135" s="69">
        <f>SUM(D134)</f>
        <v>0</v>
      </c>
      <c r="E135" s="69">
        <f>SUM(E134)</f>
        <v>0</v>
      </c>
      <c r="F135" s="69">
        <f>SUM(F134)</f>
        <v>0</v>
      </c>
    </row>
    <row r="136" spans="1:6" ht="12.75" hidden="1" customHeight="1" x14ac:dyDescent="0.2">
      <c r="A136" s="18"/>
      <c r="B136" s="32"/>
      <c r="C136" s="72"/>
      <c r="D136" s="72"/>
      <c r="E136" s="72"/>
      <c r="F136" s="72"/>
    </row>
    <row r="137" spans="1:6" ht="12.75" customHeight="1" x14ac:dyDescent="0.2">
      <c r="A137" s="18" t="s">
        <v>1681</v>
      </c>
      <c r="B137" s="38" t="s">
        <v>2205</v>
      </c>
      <c r="C137" s="66"/>
      <c r="D137" s="66"/>
      <c r="E137" s="66"/>
      <c r="F137" s="66"/>
    </row>
    <row r="138" spans="1:6" ht="12.75" customHeight="1" x14ac:dyDescent="0.2">
      <c r="A138" s="18" t="s">
        <v>1682</v>
      </c>
      <c r="B138" s="254" t="s">
        <v>1904</v>
      </c>
      <c r="C138" s="73">
        <v>0</v>
      </c>
      <c r="D138" s="73">
        <v>0</v>
      </c>
      <c r="E138" s="73">
        <v>0</v>
      </c>
      <c r="F138" s="73">
        <v>0</v>
      </c>
    </row>
    <row r="139" spans="1:6" x14ac:dyDescent="0.2">
      <c r="A139" s="18"/>
      <c r="B139" s="6" t="s">
        <v>1007</v>
      </c>
      <c r="C139" s="69">
        <f>SUM(C138)</f>
        <v>0</v>
      </c>
      <c r="D139" s="69">
        <f>SUM(D138)</f>
        <v>0</v>
      </c>
      <c r="E139" s="69">
        <f>SUM(E138)</f>
        <v>0</v>
      </c>
      <c r="F139" s="69">
        <f>SUM(F138)</f>
        <v>0</v>
      </c>
    </row>
    <row r="140" spans="1:6" ht="12.75" customHeight="1" x14ac:dyDescent="0.2">
      <c r="A140" s="18"/>
      <c r="B140" s="32"/>
      <c r="C140" s="72"/>
      <c r="D140" s="72"/>
      <c r="E140" s="72"/>
      <c r="F140" s="72"/>
    </row>
    <row r="141" spans="1:6" x14ac:dyDescent="0.2">
      <c r="A141" s="18" t="s">
        <v>71</v>
      </c>
      <c r="B141" s="31" t="s">
        <v>2219</v>
      </c>
      <c r="C141" s="62"/>
    </row>
    <row r="142" spans="1:6" x14ac:dyDescent="0.2">
      <c r="A142" s="18" t="s">
        <v>72</v>
      </c>
      <c r="B142" s="254" t="s">
        <v>1904</v>
      </c>
      <c r="C142" s="73">
        <v>0</v>
      </c>
      <c r="D142" s="73">
        <v>0</v>
      </c>
      <c r="E142" s="73">
        <v>0</v>
      </c>
      <c r="F142" s="73">
        <v>0</v>
      </c>
    </row>
    <row r="143" spans="1:6" x14ac:dyDescent="0.2">
      <c r="A143" s="18"/>
      <c r="B143" s="6" t="s">
        <v>1007</v>
      </c>
      <c r="C143" s="69">
        <f>SUM(C142)</f>
        <v>0</v>
      </c>
      <c r="D143" s="69">
        <f>SUM(D142)</f>
        <v>0</v>
      </c>
      <c r="E143" s="69">
        <f>SUM(E142)</f>
        <v>0</v>
      </c>
      <c r="F143" s="69">
        <f>SUM(F142)</f>
        <v>0</v>
      </c>
    </row>
    <row r="144" spans="1:6" x14ac:dyDescent="0.2">
      <c r="A144" s="18"/>
      <c r="B144" s="6"/>
      <c r="C144" s="66"/>
      <c r="D144" s="66"/>
      <c r="E144" s="66"/>
      <c r="F144" s="66"/>
    </row>
    <row r="145" spans="1:6" hidden="1" x14ac:dyDescent="0.2">
      <c r="A145" s="18"/>
      <c r="B145" s="6"/>
      <c r="C145" s="66"/>
      <c r="D145" s="66"/>
      <c r="E145" s="66"/>
      <c r="F145" s="66"/>
    </row>
    <row r="146" spans="1:6" x14ac:dyDescent="0.2">
      <c r="A146" s="18" t="s">
        <v>1474</v>
      </c>
      <c r="B146" s="38" t="s">
        <v>2200</v>
      </c>
      <c r="C146" s="66"/>
      <c r="D146" s="66"/>
      <c r="E146" s="66"/>
      <c r="F146" s="66"/>
    </row>
    <row r="147" spans="1:6" x14ac:dyDescent="0.2">
      <c r="A147" s="18" t="s">
        <v>1472</v>
      </c>
      <c r="B147" s="254" t="s">
        <v>1988</v>
      </c>
      <c r="C147" s="66">
        <v>0</v>
      </c>
      <c r="D147" s="66">
        <v>0</v>
      </c>
      <c r="E147" s="66">
        <v>13791</v>
      </c>
      <c r="F147" s="66">
        <v>9500</v>
      </c>
    </row>
    <row r="148" spans="1:6" x14ac:dyDescent="0.2">
      <c r="A148" s="18" t="s">
        <v>1473</v>
      </c>
      <c r="B148" s="254" t="s">
        <v>1899</v>
      </c>
      <c r="C148" s="92">
        <v>0</v>
      </c>
      <c r="D148" s="92">
        <v>0</v>
      </c>
      <c r="E148" s="92">
        <v>48</v>
      </c>
      <c r="F148" s="92">
        <v>500</v>
      </c>
    </row>
    <row r="149" spans="1:6" x14ac:dyDescent="0.2">
      <c r="A149" s="18"/>
      <c r="B149" s="6" t="s">
        <v>1007</v>
      </c>
      <c r="C149" s="69">
        <f>SUM(C147:C148)</f>
        <v>0</v>
      </c>
      <c r="D149" s="69">
        <f>SUM(D147:D148)</f>
        <v>0</v>
      </c>
      <c r="E149" s="69">
        <f>SUM(E147:E148)</f>
        <v>13839</v>
      </c>
      <c r="F149" s="69">
        <f>SUM(F147:F148)</f>
        <v>10000</v>
      </c>
    </row>
    <row r="150" spans="1:6" x14ac:dyDescent="0.2">
      <c r="A150" s="18"/>
      <c r="B150" s="6"/>
      <c r="C150" s="72"/>
      <c r="D150" s="72"/>
      <c r="E150" s="72"/>
      <c r="F150" s="72"/>
    </row>
    <row r="151" spans="1:6" ht="12.75" hidden="1" customHeight="1" x14ac:dyDescent="0.2">
      <c r="A151" s="18" t="s">
        <v>1683</v>
      </c>
      <c r="B151" s="38" t="s">
        <v>1685</v>
      </c>
      <c r="C151" s="66"/>
      <c r="D151" s="66"/>
      <c r="E151" s="66"/>
      <c r="F151" s="66"/>
    </row>
    <row r="152" spans="1:6" ht="12.75" hidden="1" customHeight="1" x14ac:dyDescent="0.2">
      <c r="A152" s="18" t="s">
        <v>1684</v>
      </c>
      <c r="B152" s="32" t="s">
        <v>1011</v>
      </c>
      <c r="C152" s="73">
        <v>0</v>
      </c>
      <c r="D152" s="73">
        <v>0</v>
      </c>
      <c r="E152" s="73">
        <v>0</v>
      </c>
      <c r="F152" s="73">
        <v>0</v>
      </c>
    </row>
    <row r="153" spans="1:6" hidden="1" x14ac:dyDescent="0.2">
      <c r="A153" s="18"/>
      <c r="B153" s="6" t="s">
        <v>1007</v>
      </c>
      <c r="C153" s="69">
        <f>SUM(C152)</f>
        <v>0</v>
      </c>
      <c r="D153" s="69">
        <f>SUM(D152)</f>
        <v>0</v>
      </c>
      <c r="E153" s="69">
        <f>SUM(E152)</f>
        <v>0</v>
      </c>
      <c r="F153" s="69">
        <f>SUM(F152)</f>
        <v>0</v>
      </c>
    </row>
    <row r="154" spans="1:6" hidden="1" x14ac:dyDescent="0.2">
      <c r="A154" s="18"/>
      <c r="B154" s="6"/>
      <c r="C154" s="72"/>
      <c r="D154" s="72"/>
      <c r="E154" s="72"/>
      <c r="F154" s="72"/>
    </row>
    <row r="155" spans="1:6" ht="12.75" hidden="1" customHeight="1" x14ac:dyDescent="0.2">
      <c r="A155" s="18" t="s">
        <v>1686</v>
      </c>
      <c r="B155" s="38" t="s">
        <v>1688</v>
      </c>
      <c r="C155" s="66"/>
      <c r="D155" s="66"/>
      <c r="E155" s="66"/>
      <c r="F155" s="66"/>
    </row>
    <row r="156" spans="1:6" ht="12.75" hidden="1" customHeight="1" x14ac:dyDescent="0.2">
      <c r="A156" s="18" t="s">
        <v>1687</v>
      </c>
      <c r="B156" s="32" t="s">
        <v>1011</v>
      </c>
      <c r="C156" s="73">
        <v>0</v>
      </c>
      <c r="D156" s="73">
        <v>0</v>
      </c>
      <c r="E156" s="73">
        <v>0</v>
      </c>
      <c r="F156" s="73">
        <v>0</v>
      </c>
    </row>
    <row r="157" spans="1:6" hidden="1" x14ac:dyDescent="0.2">
      <c r="A157" s="18"/>
      <c r="B157" s="6" t="s">
        <v>1007</v>
      </c>
      <c r="C157" s="69">
        <f>SUM(C156)</f>
        <v>0</v>
      </c>
      <c r="D157" s="69">
        <f>SUM(D156)</f>
        <v>0</v>
      </c>
      <c r="E157" s="69">
        <f>SUM(E156)</f>
        <v>0</v>
      </c>
      <c r="F157" s="69">
        <f>SUM(F156)</f>
        <v>0</v>
      </c>
    </row>
    <row r="158" spans="1:6" hidden="1" x14ac:dyDescent="0.2">
      <c r="A158" s="18"/>
      <c r="B158" s="6"/>
      <c r="C158" s="72"/>
      <c r="D158" s="72"/>
      <c r="E158" s="72"/>
      <c r="F158" s="72"/>
    </row>
    <row r="159" spans="1:6" hidden="1" x14ac:dyDescent="0.2">
      <c r="A159" s="18" t="s">
        <v>192</v>
      </c>
      <c r="B159" s="31" t="s">
        <v>185</v>
      </c>
      <c r="C159" s="72"/>
      <c r="D159" s="72"/>
      <c r="E159" s="72"/>
      <c r="F159" s="72"/>
    </row>
    <row r="160" spans="1:6" hidden="1" x14ac:dyDescent="0.2">
      <c r="A160" s="18" t="s">
        <v>193</v>
      </c>
      <c r="B160" s="33" t="s">
        <v>746</v>
      </c>
      <c r="C160" s="72">
        <v>0</v>
      </c>
      <c r="D160" s="72">
        <v>0</v>
      </c>
      <c r="E160" s="72">
        <v>0</v>
      </c>
      <c r="F160" s="72">
        <v>0</v>
      </c>
    </row>
    <row r="161" spans="1:6" hidden="1" x14ac:dyDescent="0.2">
      <c r="A161" s="18" t="s">
        <v>194</v>
      </c>
      <c r="B161" s="33" t="s">
        <v>1009</v>
      </c>
      <c r="C161" s="54">
        <v>0</v>
      </c>
      <c r="D161" s="54">
        <v>0</v>
      </c>
      <c r="E161" s="54">
        <v>0</v>
      </c>
      <c r="F161" s="54">
        <v>0</v>
      </c>
    </row>
    <row r="162" spans="1:6" hidden="1" x14ac:dyDescent="0.2">
      <c r="A162" s="18" t="s">
        <v>195</v>
      </c>
      <c r="B162" s="33" t="s">
        <v>1010</v>
      </c>
      <c r="C162" s="63">
        <v>0</v>
      </c>
      <c r="D162" s="63">
        <v>0</v>
      </c>
      <c r="E162" s="63">
        <v>0</v>
      </c>
      <c r="F162" s="63">
        <v>0</v>
      </c>
    </row>
    <row r="163" spans="1:6" hidden="1" x14ac:dyDescent="0.2">
      <c r="A163" s="18"/>
      <c r="B163" s="6" t="s">
        <v>1007</v>
      </c>
      <c r="C163" s="69">
        <f>SUM(C160:C162)</f>
        <v>0</v>
      </c>
      <c r="D163" s="69">
        <f>SUM(D160:D162)</f>
        <v>0</v>
      </c>
      <c r="E163" s="69">
        <f>SUM(E160:E162)</f>
        <v>0</v>
      </c>
      <c r="F163" s="69">
        <f>SUM(F160:F162)</f>
        <v>0</v>
      </c>
    </row>
    <row r="164" spans="1:6" ht="12.75" hidden="1" customHeight="1" x14ac:dyDescent="0.2">
      <c r="A164" s="18"/>
      <c r="B164" s="32"/>
      <c r="C164" s="72"/>
      <c r="D164" s="72"/>
      <c r="E164" s="72"/>
      <c r="F164" s="72"/>
    </row>
    <row r="165" spans="1:6" ht="12.75" customHeight="1" x14ac:dyDescent="0.2">
      <c r="A165" s="129" t="s">
        <v>1725</v>
      </c>
      <c r="B165" s="31" t="s">
        <v>2203</v>
      </c>
      <c r="C165" s="72"/>
      <c r="D165" s="72"/>
      <c r="E165" s="72"/>
      <c r="F165" s="72"/>
    </row>
    <row r="166" spans="1:6" ht="12.75" customHeight="1" x14ac:dyDescent="0.2">
      <c r="A166" s="129" t="s">
        <v>1726</v>
      </c>
      <c r="B166" s="254" t="s">
        <v>1904</v>
      </c>
      <c r="C166" s="63">
        <v>0</v>
      </c>
      <c r="D166" s="63">
        <v>0</v>
      </c>
      <c r="E166" s="63">
        <v>0</v>
      </c>
      <c r="F166" s="63">
        <v>0</v>
      </c>
    </row>
    <row r="167" spans="1:6" ht="12.75" customHeight="1" x14ac:dyDescent="0.2">
      <c r="A167" s="18"/>
      <c r="B167" s="6" t="s">
        <v>1007</v>
      </c>
      <c r="C167" s="69">
        <f>SUM(C166:C166)</f>
        <v>0</v>
      </c>
      <c r="D167" s="69">
        <f>SUM(D166:D166)</f>
        <v>0</v>
      </c>
      <c r="E167" s="69">
        <f>SUM(E166:E166)</f>
        <v>0</v>
      </c>
      <c r="F167" s="69">
        <f>SUM(F166:F166)</f>
        <v>0</v>
      </c>
    </row>
    <row r="168" spans="1:6" ht="12.75" customHeight="1" x14ac:dyDescent="0.2">
      <c r="A168" s="18"/>
      <c r="B168" s="6"/>
      <c r="C168" s="72"/>
      <c r="D168" s="72"/>
      <c r="E168" s="72"/>
      <c r="F168" s="72"/>
    </row>
    <row r="169" spans="1:6" ht="12.75" customHeight="1" x14ac:dyDescent="0.2">
      <c r="A169" s="61" t="s">
        <v>1797</v>
      </c>
      <c r="B169" s="31" t="s">
        <v>2220</v>
      </c>
      <c r="C169" s="72"/>
      <c r="D169" s="72"/>
      <c r="E169" s="72"/>
      <c r="F169" s="72"/>
    </row>
    <row r="170" spans="1:6" ht="12.75" customHeight="1" x14ac:dyDescent="0.2">
      <c r="A170" s="129" t="s">
        <v>1726</v>
      </c>
      <c r="B170" s="254" t="s">
        <v>1904</v>
      </c>
      <c r="C170" s="63">
        <v>19788.919999999998</v>
      </c>
      <c r="D170" s="63">
        <v>5211.05</v>
      </c>
      <c r="E170" s="63">
        <v>0</v>
      </c>
      <c r="F170" s="63">
        <v>0</v>
      </c>
    </row>
    <row r="171" spans="1:6" ht="12.75" customHeight="1" x14ac:dyDescent="0.2">
      <c r="A171" s="18"/>
      <c r="B171" s="6" t="s">
        <v>1007</v>
      </c>
      <c r="C171" s="69">
        <f>SUM(C170:C170)</f>
        <v>19788.919999999998</v>
      </c>
      <c r="D171" s="69">
        <f>SUM(D170:D170)</f>
        <v>5211.05</v>
      </c>
      <c r="E171" s="69">
        <f>SUM(E170:E170)</f>
        <v>0</v>
      </c>
      <c r="F171" s="69">
        <f>SUM(F170:F170)</f>
        <v>0</v>
      </c>
    </row>
    <row r="172" spans="1:6" ht="12.75" customHeight="1" x14ac:dyDescent="0.2">
      <c r="A172" s="18"/>
      <c r="B172" s="6"/>
      <c r="C172" s="72"/>
      <c r="D172" s="72"/>
      <c r="E172" s="72"/>
      <c r="F172" s="72"/>
    </row>
    <row r="173" spans="1:6" hidden="1" x14ac:dyDescent="0.2">
      <c r="A173" s="18" t="s">
        <v>1461</v>
      </c>
      <c r="B173" s="31" t="s">
        <v>2230</v>
      </c>
      <c r="C173" s="72"/>
      <c r="D173" s="72"/>
      <c r="E173" s="72"/>
      <c r="F173" s="72"/>
    </row>
    <row r="174" spans="1:6" hidden="1" x14ac:dyDescent="0.2">
      <c r="A174" s="18" t="s">
        <v>1455</v>
      </c>
      <c r="B174" s="269" t="s">
        <v>1458</v>
      </c>
      <c r="C174" s="72">
        <v>0</v>
      </c>
      <c r="D174" s="72">
        <v>0</v>
      </c>
      <c r="E174" s="72">
        <v>0</v>
      </c>
      <c r="F174" s="72">
        <v>0</v>
      </c>
    </row>
    <row r="175" spans="1:6" hidden="1" x14ac:dyDescent="0.2">
      <c r="A175" s="18" t="s">
        <v>1456</v>
      </c>
      <c r="B175" s="269" t="s">
        <v>1459</v>
      </c>
      <c r="C175" s="54">
        <v>0</v>
      </c>
      <c r="D175" s="54">
        <v>0</v>
      </c>
      <c r="E175" s="54">
        <v>0</v>
      </c>
      <c r="F175" s="54">
        <v>0</v>
      </c>
    </row>
    <row r="176" spans="1:6" hidden="1" x14ac:dyDescent="0.2">
      <c r="A176" s="18" t="s">
        <v>1457</v>
      </c>
      <c r="B176" s="269" t="s">
        <v>1460</v>
      </c>
      <c r="C176" s="54">
        <v>0</v>
      </c>
      <c r="D176" s="54">
        <v>0</v>
      </c>
      <c r="E176" s="54">
        <v>0</v>
      </c>
      <c r="F176" s="54">
        <v>0</v>
      </c>
    </row>
    <row r="177" spans="1:6" hidden="1" x14ac:dyDescent="0.2">
      <c r="A177" s="18"/>
      <c r="B177" s="6" t="s">
        <v>1007</v>
      </c>
      <c r="C177" s="69">
        <f>SUM(C174:C176)</f>
        <v>0</v>
      </c>
      <c r="D177" s="69">
        <f>SUM(D174:D176)</f>
        <v>0</v>
      </c>
      <c r="E177" s="69">
        <f>SUM(E174:E176)</f>
        <v>0</v>
      </c>
      <c r="F177" s="69">
        <f>SUM(F174:F176)</f>
        <v>0</v>
      </c>
    </row>
    <row r="178" spans="1:6" hidden="1" x14ac:dyDescent="0.2">
      <c r="A178" s="18"/>
      <c r="B178" s="6"/>
      <c r="C178" s="72"/>
      <c r="D178" s="72"/>
      <c r="E178" s="72"/>
      <c r="F178" s="72"/>
    </row>
    <row r="179" spans="1:6" x14ac:dyDescent="0.2">
      <c r="A179" s="18" t="s">
        <v>1462</v>
      </c>
      <c r="B179" s="31" t="s">
        <v>498</v>
      </c>
      <c r="C179" s="72"/>
      <c r="D179" s="72"/>
      <c r="E179" s="72"/>
      <c r="F179" s="72"/>
    </row>
    <row r="180" spans="1:6" x14ac:dyDescent="0.2">
      <c r="A180" s="18" t="s">
        <v>1463</v>
      </c>
      <c r="B180" s="269" t="s">
        <v>1458</v>
      </c>
      <c r="C180" s="72">
        <v>0</v>
      </c>
      <c r="D180" s="72">
        <v>0</v>
      </c>
      <c r="E180" s="72">
        <v>0</v>
      </c>
      <c r="F180" s="72">
        <v>0</v>
      </c>
    </row>
    <row r="181" spans="1:6" x14ac:dyDescent="0.2">
      <c r="A181" s="18" t="s">
        <v>1464</v>
      </c>
      <c r="B181" s="269" t="s">
        <v>1459</v>
      </c>
      <c r="C181" s="54">
        <v>0</v>
      </c>
      <c r="D181" s="54">
        <v>0</v>
      </c>
      <c r="E181" s="54">
        <v>0</v>
      </c>
      <c r="F181" s="54">
        <v>0</v>
      </c>
    </row>
    <row r="182" spans="1:6" x14ac:dyDescent="0.2">
      <c r="A182" s="18" t="s">
        <v>1465</v>
      </c>
      <c r="B182" s="269" t="s">
        <v>1460</v>
      </c>
      <c r="C182" s="54">
        <v>0</v>
      </c>
      <c r="D182" s="54">
        <v>0</v>
      </c>
      <c r="E182" s="54">
        <v>0</v>
      </c>
      <c r="F182" s="54">
        <v>0</v>
      </c>
    </row>
    <row r="183" spans="1:6" x14ac:dyDescent="0.2">
      <c r="A183" s="18"/>
      <c r="B183" s="6" t="s">
        <v>1007</v>
      </c>
      <c r="C183" s="69">
        <f>SUM(C180:C182)</f>
        <v>0</v>
      </c>
      <c r="D183" s="69">
        <f>SUM(D180:D182)</f>
        <v>0</v>
      </c>
      <c r="E183" s="69">
        <f>SUM(E180:E182)</f>
        <v>0</v>
      </c>
      <c r="F183" s="69">
        <f>SUM(F180:F182)</f>
        <v>0</v>
      </c>
    </row>
    <row r="184" spans="1:6" x14ac:dyDescent="0.2">
      <c r="A184" s="18"/>
      <c r="B184" s="6"/>
      <c r="C184" s="72"/>
      <c r="D184" s="72"/>
      <c r="E184" s="72"/>
      <c r="F184" s="72"/>
    </row>
    <row r="185" spans="1:6" x14ac:dyDescent="0.2">
      <c r="A185" s="18" t="s">
        <v>1466</v>
      </c>
      <c r="B185" s="31" t="s">
        <v>82</v>
      </c>
      <c r="C185" s="72"/>
      <c r="D185" s="72"/>
      <c r="E185" s="72"/>
      <c r="F185" s="72"/>
    </row>
    <row r="186" spans="1:6" x14ac:dyDescent="0.2">
      <c r="A186" s="18" t="s">
        <v>1358</v>
      </c>
      <c r="B186" s="269" t="s">
        <v>1458</v>
      </c>
      <c r="C186" s="72">
        <v>0</v>
      </c>
      <c r="D186" s="72">
        <v>0</v>
      </c>
      <c r="E186" s="72">
        <v>0</v>
      </c>
      <c r="F186" s="72">
        <v>0</v>
      </c>
    </row>
    <row r="187" spans="1:6" x14ac:dyDescent="0.2">
      <c r="A187" s="18" t="s">
        <v>1359</v>
      </c>
      <c r="B187" s="269" t="s">
        <v>1459</v>
      </c>
      <c r="C187" s="54">
        <v>0</v>
      </c>
      <c r="D187" s="54">
        <v>0</v>
      </c>
      <c r="E187" s="54">
        <v>0</v>
      </c>
      <c r="F187" s="54">
        <v>0</v>
      </c>
    </row>
    <row r="188" spans="1:6" x14ac:dyDescent="0.2">
      <c r="A188" s="18" t="s">
        <v>1360</v>
      </c>
      <c r="B188" s="269" t="s">
        <v>1460</v>
      </c>
      <c r="C188" s="54">
        <v>0</v>
      </c>
      <c r="D188" s="54">
        <v>0</v>
      </c>
      <c r="E188" s="54">
        <v>0</v>
      </c>
      <c r="F188" s="54">
        <v>0</v>
      </c>
    </row>
    <row r="189" spans="1:6" x14ac:dyDescent="0.2">
      <c r="A189" s="18"/>
      <c r="B189" s="6" t="s">
        <v>1007</v>
      </c>
      <c r="C189" s="69">
        <f>SUM(C186:C188)</f>
        <v>0</v>
      </c>
      <c r="D189" s="69">
        <f>SUM(D186:D188)</f>
        <v>0</v>
      </c>
      <c r="E189" s="69">
        <f>SUM(E186:E188)</f>
        <v>0</v>
      </c>
      <c r="F189" s="69">
        <f>SUM(F186:F188)</f>
        <v>0</v>
      </c>
    </row>
    <row r="190" spans="1:6" x14ac:dyDescent="0.2">
      <c r="A190" s="18"/>
      <c r="B190" s="6"/>
      <c r="C190" s="66"/>
      <c r="D190" s="66"/>
      <c r="E190" s="66"/>
      <c r="F190" s="66"/>
    </row>
    <row r="191" spans="1:6" x14ac:dyDescent="0.2">
      <c r="A191" s="18" t="s">
        <v>1592</v>
      </c>
      <c r="B191" s="31" t="s">
        <v>1596</v>
      </c>
      <c r="C191" s="72"/>
      <c r="D191" s="72"/>
      <c r="E191" s="72"/>
      <c r="F191" s="72"/>
    </row>
    <row r="192" spans="1:6" x14ac:dyDescent="0.2">
      <c r="A192" s="18" t="s">
        <v>1593</v>
      </c>
      <c r="B192" s="269" t="s">
        <v>1458</v>
      </c>
      <c r="C192" s="72">
        <v>0</v>
      </c>
      <c r="D192" s="72">
        <v>0</v>
      </c>
      <c r="E192" s="72">
        <v>0</v>
      </c>
      <c r="F192" s="72">
        <v>0</v>
      </c>
    </row>
    <row r="193" spans="1:6" x14ac:dyDescent="0.2">
      <c r="A193" s="18" t="s">
        <v>1594</v>
      </c>
      <c r="B193" s="269" t="s">
        <v>1459</v>
      </c>
      <c r="C193" s="54">
        <v>0</v>
      </c>
      <c r="D193" s="54">
        <v>0</v>
      </c>
      <c r="E193" s="54">
        <v>0</v>
      </c>
      <c r="F193" s="54">
        <v>0</v>
      </c>
    </row>
    <row r="194" spans="1:6" x14ac:dyDescent="0.2">
      <c r="A194" s="18" t="s">
        <v>1595</v>
      </c>
      <c r="B194" s="269" t="s">
        <v>1460</v>
      </c>
      <c r="C194" s="54">
        <v>0</v>
      </c>
      <c r="D194" s="54">
        <v>0</v>
      </c>
      <c r="E194" s="54">
        <v>0</v>
      </c>
      <c r="F194" s="54">
        <v>0</v>
      </c>
    </row>
    <row r="195" spans="1:6" x14ac:dyDescent="0.2">
      <c r="A195" s="18"/>
      <c r="B195" s="6" t="s">
        <v>1007</v>
      </c>
      <c r="C195" s="69">
        <f>SUM(C192:C194)</f>
        <v>0</v>
      </c>
      <c r="D195" s="69">
        <f>SUM(D192:D194)</f>
        <v>0</v>
      </c>
      <c r="E195" s="69">
        <f>SUM(E192:E194)</f>
        <v>0</v>
      </c>
      <c r="F195" s="69">
        <f>SUM(F192:F194)</f>
        <v>0</v>
      </c>
    </row>
    <row r="196" spans="1:6" x14ac:dyDescent="0.2">
      <c r="A196" s="18"/>
      <c r="B196" s="6"/>
      <c r="C196" s="72"/>
      <c r="D196" s="72"/>
      <c r="E196" s="72"/>
      <c r="F196" s="72"/>
    </row>
    <row r="197" spans="1:6" x14ac:dyDescent="0.2">
      <c r="A197" s="18" t="s">
        <v>1361</v>
      </c>
      <c r="B197" s="31" t="s">
        <v>1362</v>
      </c>
      <c r="C197" s="72"/>
      <c r="D197" s="72"/>
      <c r="E197" s="72"/>
      <c r="F197" s="72"/>
    </row>
    <row r="198" spans="1:6" x14ac:dyDescent="0.2">
      <c r="A198" s="18" t="s">
        <v>1363</v>
      </c>
      <c r="B198" s="269" t="s">
        <v>1458</v>
      </c>
      <c r="C198" s="72">
        <v>0</v>
      </c>
      <c r="D198" s="72">
        <v>0</v>
      </c>
      <c r="E198" s="72">
        <v>0</v>
      </c>
      <c r="F198" s="72">
        <v>0</v>
      </c>
    </row>
    <row r="199" spans="1:6" x14ac:dyDescent="0.2">
      <c r="A199" s="18" t="s">
        <v>1364</v>
      </c>
      <c r="B199" s="269" t="s">
        <v>1459</v>
      </c>
      <c r="C199" s="54">
        <v>0</v>
      </c>
      <c r="D199" s="54">
        <v>0</v>
      </c>
      <c r="E199" s="54">
        <v>0</v>
      </c>
      <c r="F199" s="54">
        <v>0</v>
      </c>
    </row>
    <row r="200" spans="1:6" x14ac:dyDescent="0.2">
      <c r="A200" s="18" t="s">
        <v>1365</v>
      </c>
      <c r="B200" s="269" t="s">
        <v>1460</v>
      </c>
      <c r="C200" s="54">
        <v>0</v>
      </c>
      <c r="D200" s="54">
        <v>0</v>
      </c>
      <c r="E200" s="54">
        <v>0</v>
      </c>
      <c r="F200" s="54">
        <v>0</v>
      </c>
    </row>
    <row r="201" spans="1:6" x14ac:dyDescent="0.2">
      <c r="A201" s="18"/>
      <c r="B201" s="6" t="s">
        <v>1007</v>
      </c>
      <c r="C201" s="69">
        <f>SUM(C198:C200)</f>
        <v>0</v>
      </c>
      <c r="D201" s="69">
        <f>SUM(D198:D200)</f>
        <v>0</v>
      </c>
      <c r="E201" s="69">
        <f>SUM(E198:E200)</f>
        <v>0</v>
      </c>
      <c r="F201" s="69">
        <f>SUM(F198:F200)</f>
        <v>0</v>
      </c>
    </row>
    <row r="202" spans="1:6" x14ac:dyDescent="0.2">
      <c r="A202" s="18"/>
      <c r="B202" s="6"/>
      <c r="C202" s="66"/>
      <c r="D202" s="66"/>
      <c r="E202" s="66"/>
      <c r="F202" s="66"/>
    </row>
    <row r="203" spans="1:6" x14ac:dyDescent="0.2">
      <c r="A203" s="18" t="s">
        <v>38</v>
      </c>
      <c r="B203" s="38" t="s">
        <v>2208</v>
      </c>
      <c r="C203" s="66" t="s">
        <v>1410</v>
      </c>
      <c r="D203" s="66" t="s">
        <v>1410</v>
      </c>
      <c r="E203" s="66" t="s">
        <v>1410</v>
      </c>
      <c r="F203" s="66" t="s">
        <v>1410</v>
      </c>
    </row>
    <row r="204" spans="1:6" x14ac:dyDescent="0.2">
      <c r="A204" s="18" t="s">
        <v>39</v>
      </c>
      <c r="B204" s="269" t="s">
        <v>1458</v>
      </c>
      <c r="C204" s="66">
        <v>3000</v>
      </c>
      <c r="D204" s="66">
        <v>0</v>
      </c>
      <c r="E204" s="66">
        <v>0</v>
      </c>
      <c r="F204" s="66">
        <v>0</v>
      </c>
    </row>
    <row r="205" spans="1:6" x14ac:dyDescent="0.2">
      <c r="A205" s="18" t="s">
        <v>40</v>
      </c>
      <c r="B205" s="269" t="s">
        <v>1459</v>
      </c>
      <c r="C205" s="67">
        <v>0</v>
      </c>
      <c r="D205" s="67">
        <v>0</v>
      </c>
      <c r="E205" s="67">
        <v>0</v>
      </c>
      <c r="F205" s="67">
        <v>0</v>
      </c>
    </row>
    <row r="206" spans="1:6" x14ac:dyDescent="0.2">
      <c r="A206" s="18" t="s">
        <v>41</v>
      </c>
      <c r="B206" s="269" t="s">
        <v>1460</v>
      </c>
      <c r="C206" s="63">
        <v>0</v>
      </c>
      <c r="D206" s="63">
        <v>0</v>
      </c>
      <c r="E206" s="63">
        <v>0</v>
      </c>
      <c r="F206" s="63">
        <v>0</v>
      </c>
    </row>
    <row r="207" spans="1:6" x14ac:dyDescent="0.2">
      <c r="A207" s="18"/>
      <c r="B207" s="6" t="s">
        <v>1007</v>
      </c>
      <c r="C207" s="69">
        <f>SUM(C204:C206)</f>
        <v>3000</v>
      </c>
      <c r="D207" s="69">
        <f>SUM(D204:D206)</f>
        <v>0</v>
      </c>
      <c r="E207" s="69">
        <f>SUM(E204:E206)</f>
        <v>0</v>
      </c>
      <c r="F207" s="69">
        <f>SUM(F204:F206)</f>
        <v>0</v>
      </c>
    </row>
    <row r="208" spans="1:6" x14ac:dyDescent="0.2">
      <c r="A208" s="18"/>
      <c r="B208" s="6"/>
      <c r="C208" s="72"/>
      <c r="D208" s="72"/>
      <c r="E208" s="72"/>
      <c r="F208" s="72"/>
    </row>
    <row r="209" spans="1:6" x14ac:dyDescent="0.2">
      <c r="A209" s="129" t="s">
        <v>1567</v>
      </c>
      <c r="B209" s="38" t="s">
        <v>2221</v>
      </c>
      <c r="C209" s="66" t="s">
        <v>1410</v>
      </c>
      <c r="D209" s="66" t="s">
        <v>1410</v>
      </c>
      <c r="E209" s="66" t="s">
        <v>1410</v>
      </c>
      <c r="F209" s="66" t="s">
        <v>1410</v>
      </c>
    </row>
    <row r="210" spans="1:6" x14ac:dyDescent="0.2">
      <c r="A210" s="18" t="s">
        <v>1103</v>
      </c>
      <c r="B210" s="269" t="s">
        <v>1458</v>
      </c>
      <c r="C210" s="66">
        <v>0</v>
      </c>
      <c r="D210" s="72">
        <v>0</v>
      </c>
      <c r="E210" s="72">
        <v>0</v>
      </c>
      <c r="F210" s="72">
        <v>0</v>
      </c>
    </row>
    <row r="211" spans="1:6" x14ac:dyDescent="0.2">
      <c r="A211" s="18" t="s">
        <v>1104</v>
      </c>
      <c r="B211" s="269" t="s">
        <v>1459</v>
      </c>
      <c r="C211" s="67">
        <v>0</v>
      </c>
      <c r="D211" s="54">
        <v>0</v>
      </c>
      <c r="E211" s="54">
        <v>0</v>
      </c>
      <c r="F211" s="54">
        <v>0</v>
      </c>
    </row>
    <row r="212" spans="1:6" x14ac:dyDescent="0.2">
      <c r="A212" s="18" t="s">
        <v>1105</v>
      </c>
      <c r="B212" s="269" t="s">
        <v>1460</v>
      </c>
      <c r="C212" s="63">
        <v>0</v>
      </c>
      <c r="D212" s="54">
        <v>0</v>
      </c>
      <c r="E212" s="54">
        <v>0</v>
      </c>
      <c r="F212" s="54">
        <v>0</v>
      </c>
    </row>
    <row r="213" spans="1:6" x14ac:dyDescent="0.2">
      <c r="A213" s="18"/>
      <c r="B213" s="6"/>
      <c r="C213" s="69">
        <f>SUM(C210:C212)</f>
        <v>0</v>
      </c>
      <c r="D213" s="69">
        <f>SUM(D210:D212)</f>
        <v>0</v>
      </c>
      <c r="E213" s="69">
        <f>SUM(E210:E212)</f>
        <v>0</v>
      </c>
      <c r="F213" s="69">
        <f>SUM(F210:F212)</f>
        <v>0</v>
      </c>
    </row>
    <row r="214" spans="1:6" ht="12.75" hidden="1" customHeight="1" x14ac:dyDescent="0.2">
      <c r="A214" s="18" t="s">
        <v>1683</v>
      </c>
      <c r="B214" s="252" t="s">
        <v>1685</v>
      </c>
      <c r="C214" s="66"/>
      <c r="D214" s="66"/>
      <c r="E214" s="66"/>
      <c r="F214" s="66"/>
    </row>
    <row r="215" spans="1:6" ht="12.75" hidden="1" customHeight="1" x14ac:dyDescent="0.2">
      <c r="A215" s="18" t="s">
        <v>1684</v>
      </c>
      <c r="B215" s="32" t="s">
        <v>1011</v>
      </c>
      <c r="C215" s="73">
        <v>0</v>
      </c>
      <c r="D215" s="73">
        <v>0</v>
      </c>
      <c r="E215" s="73">
        <v>0</v>
      </c>
      <c r="F215" s="73">
        <v>0</v>
      </c>
    </row>
    <row r="216" spans="1:6" hidden="1" x14ac:dyDescent="0.2">
      <c r="A216" s="18"/>
      <c r="B216" s="6" t="s">
        <v>1007</v>
      </c>
      <c r="C216" s="69">
        <f>SUM(C215)</f>
        <v>0</v>
      </c>
      <c r="D216" s="69">
        <f>SUM(D215)</f>
        <v>0</v>
      </c>
      <c r="E216" s="69">
        <f>SUM(E215)</f>
        <v>0</v>
      </c>
      <c r="F216" s="69">
        <f>SUM(F215)</f>
        <v>0</v>
      </c>
    </row>
    <row r="217" spans="1:6" hidden="1" x14ac:dyDescent="0.2">
      <c r="A217" s="18"/>
      <c r="B217" s="6"/>
      <c r="C217" s="72"/>
      <c r="D217" s="72"/>
      <c r="E217" s="72"/>
      <c r="F217" s="72"/>
    </row>
    <row r="218" spans="1:6" ht="12.75" hidden="1" customHeight="1" x14ac:dyDescent="0.2">
      <c r="A218" s="18" t="s">
        <v>1686</v>
      </c>
      <c r="B218" s="252" t="s">
        <v>1688</v>
      </c>
      <c r="C218" s="66"/>
      <c r="D218" s="66"/>
      <c r="E218" s="66"/>
      <c r="F218" s="66"/>
    </row>
    <row r="219" spans="1:6" ht="12.75" hidden="1" customHeight="1" x14ac:dyDescent="0.2">
      <c r="A219" s="18" t="s">
        <v>1687</v>
      </c>
      <c r="B219" s="32" t="s">
        <v>1011</v>
      </c>
      <c r="C219" s="73">
        <v>0</v>
      </c>
      <c r="D219" s="73">
        <v>0</v>
      </c>
      <c r="E219" s="73">
        <v>0</v>
      </c>
      <c r="F219" s="73">
        <v>0</v>
      </c>
    </row>
    <row r="220" spans="1:6" hidden="1" x14ac:dyDescent="0.2">
      <c r="A220" s="18"/>
      <c r="B220" s="6" t="s">
        <v>1007</v>
      </c>
      <c r="C220" s="69">
        <f>SUM(C219)</f>
        <v>0</v>
      </c>
      <c r="D220" s="69">
        <f>SUM(D219)</f>
        <v>0</v>
      </c>
      <c r="E220" s="69">
        <f>SUM(E219)</f>
        <v>0</v>
      </c>
      <c r="F220" s="69">
        <f>SUM(F219)</f>
        <v>0</v>
      </c>
    </row>
    <row r="221" spans="1:6" hidden="1" x14ac:dyDescent="0.2">
      <c r="A221" s="18"/>
      <c r="B221" s="6"/>
      <c r="C221" s="72"/>
      <c r="D221" s="72"/>
      <c r="E221" s="72"/>
      <c r="F221" s="72"/>
    </row>
    <row r="222" spans="1:6" hidden="1" x14ac:dyDescent="0.2">
      <c r="A222" s="18" t="s">
        <v>192</v>
      </c>
      <c r="B222" s="31" t="s">
        <v>185</v>
      </c>
      <c r="C222" s="72"/>
      <c r="D222" s="72"/>
      <c r="E222" s="72"/>
      <c r="F222" s="72"/>
    </row>
    <row r="223" spans="1:6" hidden="1" x14ac:dyDescent="0.2">
      <c r="A223" s="18" t="s">
        <v>193</v>
      </c>
      <c r="B223" s="33" t="s">
        <v>746</v>
      </c>
      <c r="C223" s="72">
        <v>0</v>
      </c>
      <c r="D223" s="72">
        <v>0</v>
      </c>
      <c r="E223" s="72">
        <v>0</v>
      </c>
      <c r="F223" s="72">
        <v>0</v>
      </c>
    </row>
    <row r="224" spans="1:6" hidden="1" x14ac:dyDescent="0.2">
      <c r="A224" s="18" t="s">
        <v>194</v>
      </c>
      <c r="B224" s="33" t="s">
        <v>1009</v>
      </c>
      <c r="C224" s="54">
        <v>0</v>
      </c>
      <c r="D224" s="54">
        <v>0</v>
      </c>
      <c r="E224" s="54">
        <v>0</v>
      </c>
      <c r="F224" s="54">
        <v>0</v>
      </c>
    </row>
    <row r="225" spans="1:6" hidden="1" x14ac:dyDescent="0.2">
      <c r="A225" s="18" t="s">
        <v>195</v>
      </c>
      <c r="B225" s="33" t="s">
        <v>1010</v>
      </c>
      <c r="C225" s="63">
        <v>0</v>
      </c>
      <c r="D225" s="63">
        <v>0</v>
      </c>
      <c r="E225" s="63">
        <v>0</v>
      </c>
      <c r="F225" s="63">
        <v>0</v>
      </c>
    </row>
    <row r="226" spans="1:6" hidden="1" x14ac:dyDescent="0.2">
      <c r="A226" s="18"/>
      <c r="B226" s="6" t="s">
        <v>1007</v>
      </c>
      <c r="C226" s="69">
        <f>SUM(C223:C225)</f>
        <v>0</v>
      </c>
      <c r="D226" s="69">
        <f>SUM(D223:D225)</f>
        <v>0</v>
      </c>
      <c r="E226" s="69">
        <f>SUM(E223:E225)</f>
        <v>0</v>
      </c>
      <c r="F226" s="69">
        <f>SUM(F223:F225)</f>
        <v>0</v>
      </c>
    </row>
    <row r="227" spans="1:6" ht="12.75" hidden="1" customHeight="1" x14ac:dyDescent="0.2">
      <c r="A227" s="18"/>
      <c r="B227" s="32"/>
      <c r="C227" s="72"/>
      <c r="D227" s="72"/>
      <c r="E227" s="72"/>
      <c r="F227" s="72"/>
    </row>
    <row r="228" spans="1:6" ht="12.75" customHeight="1" x14ac:dyDescent="0.2">
      <c r="A228" s="61" t="s">
        <v>2228</v>
      </c>
      <c r="B228" s="31" t="s">
        <v>2229</v>
      </c>
      <c r="C228" s="72"/>
      <c r="D228" s="72"/>
      <c r="E228" s="72"/>
      <c r="F228" s="72"/>
    </row>
    <row r="229" spans="1:6" ht="12.75" customHeight="1" x14ac:dyDescent="0.2">
      <c r="A229" s="129" t="s">
        <v>1726</v>
      </c>
      <c r="B229" s="254" t="s">
        <v>2229</v>
      </c>
      <c r="C229" s="63">
        <v>0</v>
      </c>
      <c r="D229" s="63">
        <v>5625</v>
      </c>
      <c r="E229" s="63">
        <v>0</v>
      </c>
      <c r="F229" s="63">
        <v>0</v>
      </c>
    </row>
    <row r="230" spans="1:6" x14ac:dyDescent="0.2">
      <c r="A230" s="18"/>
      <c r="B230" s="6" t="s">
        <v>1007</v>
      </c>
      <c r="C230" s="87">
        <f>+C229</f>
        <v>0</v>
      </c>
      <c r="D230" s="87">
        <f>+D229</f>
        <v>5625</v>
      </c>
      <c r="E230" s="87">
        <f t="shared" ref="E230:F230" si="0">+E229</f>
        <v>0</v>
      </c>
      <c r="F230" s="87">
        <f t="shared" si="0"/>
        <v>0</v>
      </c>
    </row>
    <row r="231" spans="1:6" x14ac:dyDescent="0.2">
      <c r="A231" s="18"/>
      <c r="B231" s="6"/>
      <c r="C231" s="66"/>
      <c r="D231" s="66"/>
      <c r="E231" s="66"/>
      <c r="F231" s="66"/>
    </row>
    <row r="232" spans="1:6" x14ac:dyDescent="0.2">
      <c r="A232" s="18"/>
      <c r="C232" s="97"/>
      <c r="D232" s="97"/>
      <c r="E232" s="97"/>
      <c r="F232" s="97"/>
    </row>
    <row r="233" spans="1:6" ht="13.5" thickBot="1" x14ac:dyDescent="0.25">
      <c r="A233" s="18"/>
      <c r="B233" s="6" t="s">
        <v>1319</v>
      </c>
      <c r="C233" s="71">
        <f>C56+C64+C73+C83+C87+C103+C107+C111+C115+C119+C123+C127+C131+C135+C139+C143+C149+C153+C157+C163+C177+C183+C189+C201+C207+C230+C94+C195+C98+C167+C171+C213</f>
        <v>104346.55</v>
      </c>
      <c r="D233" s="71">
        <f>D56+D64+D73+D83+D87+D103+D107+D111+D115+D119+D123+D127+D131+D135+D139+D143+D149+D153+D157+D163+D177+D183+D189+D201+D207+D230+D94+D195+D98+D167+D171+D213</f>
        <v>114540.13</v>
      </c>
      <c r="E233" s="71">
        <f>E56+E64+E73+E83+E87+E103+E107+E111+E115+E119+E123+E127+E131+E135+E139+E143+E149+E153+E157+E163+E177+E183+E189+E201+E207+E230+E94+E195+E98+E167+E171+E213</f>
        <v>102839</v>
      </c>
      <c r="F233" s="71">
        <f>F56+F64+F73+F83+F87+F103+F107+F111+F115+F119+F123+F127+F131+F135+F139+F143+F149+F153+F157+F163+F177+F183+F189+F201+F207+F230+F94+F195+F98+F167+F171+F213</f>
        <v>14500</v>
      </c>
    </row>
    <row r="234" spans="1:6" ht="13.5" thickTop="1" x14ac:dyDescent="0.2">
      <c r="A234" s="18"/>
      <c r="B234" t="s">
        <v>1410</v>
      </c>
      <c r="C234" s="62"/>
    </row>
    <row r="235" spans="1:6" x14ac:dyDescent="0.2">
      <c r="A235" s="18"/>
      <c r="B235" s="4" t="s">
        <v>638</v>
      </c>
      <c r="C235" s="62"/>
    </row>
    <row r="236" spans="1:6" x14ac:dyDescent="0.2">
      <c r="A236" s="18"/>
      <c r="B236" s="4" t="s">
        <v>70</v>
      </c>
      <c r="C236" s="62"/>
    </row>
    <row r="237" spans="1:6" x14ac:dyDescent="0.2">
      <c r="A237" s="18"/>
      <c r="B237" s="4" t="s">
        <v>1321</v>
      </c>
      <c r="C237" s="62"/>
    </row>
    <row r="238" spans="1:6" x14ac:dyDescent="0.2">
      <c r="A238" s="18"/>
      <c r="C238" s="77" t="str">
        <f>+C$5</f>
        <v>2018 ACTUAL</v>
      </c>
      <c r="D238" s="77" t="str">
        <f>+D$5</f>
        <v>2019 ACTUAL</v>
      </c>
      <c r="E238" s="77" t="str">
        <f>+E$5</f>
        <v>2020 BUDGET</v>
      </c>
      <c r="F238" s="77" t="str">
        <f>+F$5</f>
        <v>2021 BUDGET</v>
      </c>
    </row>
    <row r="239" spans="1:6" x14ac:dyDescent="0.2">
      <c r="A239" s="18"/>
      <c r="C239" s="75"/>
      <c r="D239" s="75"/>
      <c r="E239" s="75"/>
      <c r="F239" s="75"/>
    </row>
    <row r="240" spans="1:6" x14ac:dyDescent="0.2">
      <c r="A240" s="18"/>
      <c r="B240" t="s">
        <v>1322</v>
      </c>
      <c r="C240" s="66">
        <v>42244.779999999912</v>
      </c>
      <c r="D240" s="66">
        <f>C248</f>
        <v>58433.42999999992</v>
      </c>
      <c r="E240" s="66">
        <f>D248</f>
        <v>76523.919999999867</v>
      </c>
      <c r="F240" s="66">
        <f>E248</f>
        <v>72684.919999999867</v>
      </c>
    </row>
    <row r="241" spans="1:6" x14ac:dyDescent="0.2">
      <c r="A241" s="18"/>
      <c r="C241" s="62"/>
    </row>
    <row r="242" spans="1:6" x14ac:dyDescent="0.2">
      <c r="B242" t="s">
        <v>1323</v>
      </c>
      <c r="C242" s="67">
        <f>C43</f>
        <v>120535.2</v>
      </c>
      <c r="D242" s="67">
        <f>D43</f>
        <v>132630.61999999997</v>
      </c>
      <c r="E242" s="67">
        <f>E43</f>
        <v>99000</v>
      </c>
      <c r="F242" s="67">
        <f>F43</f>
        <v>19000</v>
      </c>
    </row>
    <row r="243" spans="1:6" x14ac:dyDescent="0.2">
      <c r="C243" s="67"/>
      <c r="D243" s="67"/>
      <c r="E243" s="67"/>
      <c r="F243" s="67"/>
    </row>
    <row r="244" spans="1:6" x14ac:dyDescent="0.2">
      <c r="B244" t="s">
        <v>1324</v>
      </c>
      <c r="C244" s="67">
        <f>C233</f>
        <v>104346.55</v>
      </c>
      <c r="D244" s="67">
        <f>D233</f>
        <v>114540.13</v>
      </c>
      <c r="E244" s="67">
        <f>E233</f>
        <v>102839</v>
      </c>
      <c r="F244" s="67">
        <f>F233</f>
        <v>14500</v>
      </c>
    </row>
    <row r="245" spans="1:6" x14ac:dyDescent="0.2">
      <c r="C245" s="67"/>
      <c r="D245" s="67"/>
      <c r="E245" s="67"/>
      <c r="F245" s="67"/>
    </row>
    <row r="246" spans="1:6" x14ac:dyDescent="0.2">
      <c r="B246" t="s">
        <v>1325</v>
      </c>
      <c r="C246" s="63">
        <v>0</v>
      </c>
      <c r="D246" s="63">
        <v>0</v>
      </c>
      <c r="E246" s="63">
        <v>0</v>
      </c>
      <c r="F246" s="63">
        <v>0</v>
      </c>
    </row>
    <row r="247" spans="1:6" x14ac:dyDescent="0.2">
      <c r="C247" s="62"/>
    </row>
    <row r="248" spans="1:6" ht="13.5" thickBot="1" x14ac:dyDescent="0.25">
      <c r="B248" t="s">
        <v>1326</v>
      </c>
      <c r="C248" s="71">
        <f>C240+C242-C244+C246</f>
        <v>58433.42999999992</v>
      </c>
      <c r="D248" s="71">
        <f>D240+D242-D244+D246</f>
        <v>76523.919999999867</v>
      </c>
      <c r="E248" s="71">
        <f>E240+E242-E244+E246</f>
        <v>72684.919999999867</v>
      </c>
      <c r="F248" s="71">
        <f>F240+F242-F244+F246</f>
        <v>77184.919999999867</v>
      </c>
    </row>
    <row r="249" spans="1:6" ht="13.5" thickTop="1" x14ac:dyDescent="0.2">
      <c r="C249" s="62"/>
    </row>
    <row r="250" spans="1:6" x14ac:dyDescent="0.2">
      <c r="D250" s="67"/>
    </row>
    <row r="251" spans="1:6" x14ac:dyDescent="0.2">
      <c r="C251" s="10"/>
    </row>
    <row r="252" spans="1:6" x14ac:dyDescent="0.2">
      <c r="D252" s="67"/>
    </row>
  </sheetData>
  <phoneticPr fontId="2" type="noConversion"/>
  <pageMargins left="0.5" right="0.5" top="1" bottom="1" header="0.5" footer="0.5"/>
  <pageSetup scale="85" firstPageNumber="42" orientation="portrait" useFirstPageNumber="1" r:id="rId1"/>
  <headerFooter alignWithMargins="0">
    <oddFooter>&amp;C&amp;P</oddFooter>
  </headerFooter>
  <rowBreaks count="2" manualBreakCount="2">
    <brk id="49" max="16383" man="1"/>
    <brk id="202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F214"/>
  <sheetViews>
    <sheetView zoomScaleNormal="100" workbookViewId="0"/>
  </sheetViews>
  <sheetFormatPr defaultRowHeight="12.75" x14ac:dyDescent="0.2"/>
  <cols>
    <col min="1" max="1" width="14.85546875" bestFit="1" customWidth="1"/>
    <col min="2" max="2" width="46.28515625" customWidth="1"/>
    <col min="3" max="3" width="13.140625" bestFit="1" customWidth="1"/>
    <col min="4" max="5" width="13.28515625" bestFit="1" customWidth="1"/>
    <col min="6" max="6" width="13.28515625" style="62" bestFit="1" customWidth="1"/>
  </cols>
  <sheetData>
    <row r="1" spans="1:6" x14ac:dyDescent="0.2">
      <c r="A1" s="18" t="s">
        <v>1410</v>
      </c>
      <c r="B1" s="4" t="s">
        <v>638</v>
      </c>
      <c r="C1" s="1" t="s">
        <v>1410</v>
      </c>
      <c r="D1" s="1" t="s">
        <v>1410</v>
      </c>
      <c r="E1" s="1" t="s">
        <v>1410</v>
      </c>
      <c r="F1" s="75" t="s">
        <v>1410</v>
      </c>
    </row>
    <row r="2" spans="1:6" x14ac:dyDescent="0.2">
      <c r="A2" s="18"/>
      <c r="B2" s="4" t="s">
        <v>304</v>
      </c>
      <c r="C2" s="1" t="s">
        <v>1410</v>
      </c>
      <c r="D2" s="1" t="s">
        <v>1410</v>
      </c>
      <c r="E2" s="1" t="s">
        <v>1410</v>
      </c>
      <c r="F2" s="75" t="s">
        <v>1410</v>
      </c>
    </row>
    <row r="3" spans="1:6" ht="15" x14ac:dyDescent="0.25">
      <c r="A3" s="18"/>
      <c r="B3" s="4" t="s">
        <v>1410</v>
      </c>
      <c r="C3" s="1" t="s">
        <v>1410</v>
      </c>
      <c r="D3" s="1" t="s">
        <v>1410</v>
      </c>
      <c r="E3" s="241"/>
      <c r="F3" s="293"/>
    </row>
    <row r="4" spans="1:6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7" t="str">
        <f>+'100-Genl'!F4</f>
        <v>2021 BUDGET</v>
      </c>
    </row>
    <row r="5" spans="1:6" x14ac:dyDescent="0.2">
      <c r="A5" s="18" t="s">
        <v>1410</v>
      </c>
      <c r="B5" s="4" t="s">
        <v>299</v>
      </c>
    </row>
    <row r="6" spans="1:6" x14ac:dyDescent="0.2">
      <c r="A6" s="18" t="s">
        <v>437</v>
      </c>
      <c r="B6" s="253" t="s">
        <v>2231</v>
      </c>
      <c r="C6" s="8">
        <v>184448.07</v>
      </c>
      <c r="D6" s="8">
        <v>209497.47</v>
      </c>
      <c r="E6" s="8">
        <v>170000</v>
      </c>
      <c r="F6" s="66">
        <v>140000</v>
      </c>
    </row>
    <row r="7" spans="1:6" x14ac:dyDescent="0.2">
      <c r="A7" s="18" t="s">
        <v>438</v>
      </c>
      <c r="B7" s="254" t="s">
        <v>2232</v>
      </c>
      <c r="C7" s="67">
        <v>0</v>
      </c>
      <c r="D7" s="10">
        <v>0</v>
      </c>
      <c r="E7" s="10">
        <v>0</v>
      </c>
      <c r="F7" s="67">
        <v>0</v>
      </c>
    </row>
    <row r="8" spans="1:6" x14ac:dyDescent="0.2">
      <c r="A8" s="18" t="s">
        <v>439</v>
      </c>
      <c r="B8" s="253" t="s">
        <v>1746</v>
      </c>
      <c r="C8" s="63">
        <v>2123.52</v>
      </c>
      <c r="D8" s="12">
        <v>1949.64</v>
      </c>
      <c r="E8" s="12">
        <v>3000</v>
      </c>
      <c r="F8" s="63">
        <v>2500</v>
      </c>
    </row>
    <row r="9" spans="1:6" ht="13.5" thickBot="1" x14ac:dyDescent="0.25">
      <c r="A9" s="18"/>
      <c r="B9" s="6" t="s">
        <v>129</v>
      </c>
      <c r="C9" s="78">
        <f>SUM(C6:C8)</f>
        <v>186571.59</v>
      </c>
      <c r="D9" s="14">
        <f>SUM(D6:D8)</f>
        <v>211447.11000000002</v>
      </c>
      <c r="E9" s="14">
        <f>SUM(E6:E8)</f>
        <v>173000</v>
      </c>
      <c r="F9" s="78">
        <f>SUM(F6:F8)</f>
        <v>142500</v>
      </c>
    </row>
    <row r="10" spans="1:6" ht="13.5" thickTop="1" x14ac:dyDescent="0.2">
      <c r="A10" s="18"/>
      <c r="C10" s="62"/>
    </row>
    <row r="11" spans="1:6" x14ac:dyDescent="0.2">
      <c r="A11" s="18"/>
      <c r="B11" s="4" t="s">
        <v>844</v>
      </c>
      <c r="C11" s="62"/>
    </row>
    <row r="12" spans="1:6" x14ac:dyDescent="0.2">
      <c r="A12" s="18" t="s">
        <v>263</v>
      </c>
      <c r="B12" s="253" t="s">
        <v>2233</v>
      </c>
      <c r="C12" s="23">
        <v>144100</v>
      </c>
      <c r="D12" s="23">
        <v>143997.76000000001</v>
      </c>
      <c r="E12" s="23">
        <v>160000</v>
      </c>
      <c r="F12" s="73">
        <v>186604.04</v>
      </c>
    </row>
    <row r="13" spans="1:6" ht="13.5" thickBot="1" x14ac:dyDescent="0.25">
      <c r="A13" s="18" t="s">
        <v>1410</v>
      </c>
      <c r="B13" s="6" t="s">
        <v>1319</v>
      </c>
      <c r="C13" s="71">
        <f>SUM(C12)</f>
        <v>144100</v>
      </c>
      <c r="D13" s="17">
        <f>SUM(D12)</f>
        <v>143997.76000000001</v>
      </c>
      <c r="E13" s="17">
        <f>SUM(E12)</f>
        <v>160000</v>
      </c>
      <c r="F13" s="71">
        <f>SUM(F12)</f>
        <v>186604.04</v>
      </c>
    </row>
    <row r="14" spans="1:6" ht="13.5" thickTop="1" x14ac:dyDescent="0.2">
      <c r="C14" s="62"/>
    </row>
    <row r="15" spans="1:6" x14ac:dyDescent="0.2">
      <c r="A15" s="18"/>
      <c r="B15" s="4" t="s">
        <v>638</v>
      </c>
      <c r="C15" s="62"/>
    </row>
    <row r="16" spans="1:6" x14ac:dyDescent="0.2">
      <c r="B16" s="4" t="s">
        <v>264</v>
      </c>
      <c r="C16" s="62"/>
    </row>
    <row r="17" spans="1:6" x14ac:dyDescent="0.2">
      <c r="B17" s="4" t="s">
        <v>1321</v>
      </c>
      <c r="C17" s="62"/>
    </row>
    <row r="18" spans="1:6" x14ac:dyDescent="0.2">
      <c r="C18" s="77" t="str">
        <f>+C4</f>
        <v>2018 ACTUAL</v>
      </c>
      <c r="D18" s="77" t="str">
        <f>+D4</f>
        <v>2019 ACTUAL</v>
      </c>
      <c r="E18" s="77" t="str">
        <f>+E4</f>
        <v>2020 BUDGET</v>
      </c>
      <c r="F18" s="77" t="str">
        <f>+F4</f>
        <v>2021 BUDGET</v>
      </c>
    </row>
    <row r="19" spans="1:6" x14ac:dyDescent="0.2">
      <c r="C19" s="75"/>
      <c r="D19" s="1"/>
      <c r="E19" s="1"/>
      <c r="F19" s="75"/>
    </row>
    <row r="20" spans="1:6" x14ac:dyDescent="0.2">
      <c r="B20" t="s">
        <v>1322</v>
      </c>
      <c r="C20" s="66">
        <v>116189.69999999998</v>
      </c>
      <c r="D20" s="8">
        <f>C28</f>
        <v>158661.28999999998</v>
      </c>
      <c r="E20" s="8">
        <f>D28</f>
        <v>226110.64</v>
      </c>
      <c r="F20" s="66">
        <f>E28</f>
        <v>239110.64</v>
      </c>
    </row>
    <row r="21" spans="1:6" x14ac:dyDescent="0.2">
      <c r="C21" s="62"/>
    </row>
    <row r="22" spans="1:6" x14ac:dyDescent="0.2">
      <c r="B22" t="s">
        <v>1323</v>
      </c>
      <c r="C22" s="67">
        <f>C9</f>
        <v>186571.59</v>
      </c>
      <c r="D22" s="10">
        <f>D9</f>
        <v>211447.11000000002</v>
      </c>
      <c r="E22" s="10">
        <f>E9</f>
        <v>173000</v>
      </c>
      <c r="F22" s="67">
        <f>F9</f>
        <v>142500</v>
      </c>
    </row>
    <row r="23" spans="1:6" x14ac:dyDescent="0.2">
      <c r="C23" s="67"/>
      <c r="D23" s="10"/>
      <c r="E23" s="10"/>
      <c r="F23" s="67"/>
    </row>
    <row r="24" spans="1:6" x14ac:dyDescent="0.2">
      <c r="A24" t="s">
        <v>1410</v>
      </c>
      <c r="B24" t="s">
        <v>1324</v>
      </c>
      <c r="C24" s="67">
        <f>C13</f>
        <v>144100</v>
      </c>
      <c r="D24" s="10">
        <f>D13</f>
        <v>143997.76000000001</v>
      </c>
      <c r="E24" s="10">
        <f>E13</f>
        <v>160000</v>
      </c>
      <c r="F24" s="67">
        <f>F13</f>
        <v>186604.04</v>
      </c>
    </row>
    <row r="25" spans="1:6" x14ac:dyDescent="0.2">
      <c r="C25" s="67"/>
      <c r="D25" s="10"/>
      <c r="E25" s="10"/>
      <c r="F25" s="67"/>
    </row>
    <row r="26" spans="1:6" x14ac:dyDescent="0.2">
      <c r="A26" t="s">
        <v>1410</v>
      </c>
      <c r="B26" t="s">
        <v>1325</v>
      </c>
      <c r="C26" s="63">
        <v>0</v>
      </c>
      <c r="D26" s="12">
        <v>0</v>
      </c>
      <c r="E26" s="12">
        <v>0</v>
      </c>
      <c r="F26" s="63">
        <v>0</v>
      </c>
    </row>
    <row r="27" spans="1:6" x14ac:dyDescent="0.2">
      <c r="C27" s="62"/>
    </row>
    <row r="28" spans="1:6" ht="13.5" thickBot="1" x14ac:dyDescent="0.25">
      <c r="B28" t="s">
        <v>1326</v>
      </c>
      <c r="C28" s="71">
        <f>C20+C22-C24+C26</f>
        <v>158661.28999999998</v>
      </c>
      <c r="D28" s="17">
        <f>D20+D22-D24+D26</f>
        <v>226110.64</v>
      </c>
      <c r="E28" s="17">
        <f>E20+E22-E24+E26</f>
        <v>239110.64</v>
      </c>
      <c r="F28" s="71">
        <f>F20+F22-F24+F26</f>
        <v>195006.6</v>
      </c>
    </row>
    <row r="29" spans="1:6" ht="13.5" thickTop="1" x14ac:dyDescent="0.2">
      <c r="C29" s="15"/>
      <c r="D29" s="15"/>
      <c r="E29" s="15"/>
      <c r="F29" s="72"/>
    </row>
    <row r="30" spans="1:6" x14ac:dyDescent="0.2">
      <c r="A30" s="18"/>
      <c r="C30" s="16"/>
      <c r="D30" s="15"/>
      <c r="E30" s="15"/>
      <c r="F30" s="72"/>
    </row>
    <row r="31" spans="1:6" x14ac:dyDescent="0.2">
      <c r="A31" s="18"/>
      <c r="C31" s="15"/>
      <c r="D31" s="15"/>
      <c r="E31" s="15"/>
      <c r="F31" s="72"/>
    </row>
    <row r="32" spans="1:6" x14ac:dyDescent="0.2">
      <c r="A32" s="18"/>
      <c r="B32" s="4" t="s">
        <v>638</v>
      </c>
      <c r="C32" s="1" t="s">
        <v>1410</v>
      </c>
      <c r="D32" s="1" t="s">
        <v>1410</v>
      </c>
      <c r="E32" s="1" t="s">
        <v>1410</v>
      </c>
      <c r="F32" s="75" t="s">
        <v>1410</v>
      </c>
    </row>
    <row r="33" spans="1:6" x14ac:dyDescent="0.2">
      <c r="A33" s="18"/>
      <c r="B33" s="4" t="s">
        <v>265</v>
      </c>
      <c r="C33" s="1" t="s">
        <v>1410</v>
      </c>
      <c r="D33" s="1" t="s">
        <v>1410</v>
      </c>
      <c r="E33" s="1" t="s">
        <v>1410</v>
      </c>
      <c r="F33" s="75" t="s">
        <v>1410</v>
      </c>
    </row>
    <row r="34" spans="1:6" ht="15" x14ac:dyDescent="0.25">
      <c r="A34" s="18"/>
      <c r="B34" s="4" t="s">
        <v>1410</v>
      </c>
      <c r="C34" s="1" t="s">
        <v>1410</v>
      </c>
      <c r="D34" s="1" t="s">
        <v>1410</v>
      </c>
      <c r="E34" s="241"/>
      <c r="F34" s="293"/>
    </row>
    <row r="35" spans="1:6" x14ac:dyDescent="0.2">
      <c r="A35" s="18"/>
      <c r="C35" s="7" t="str">
        <f>+$C$4</f>
        <v>2018 ACTUAL</v>
      </c>
      <c r="D35" s="7" t="str">
        <f>+$D$4</f>
        <v>2019 ACTUAL</v>
      </c>
      <c r="E35" s="7" t="str">
        <f>+E$4</f>
        <v>2020 BUDGET</v>
      </c>
      <c r="F35" s="77" t="str">
        <f>+F$4</f>
        <v>2021 BUDGET</v>
      </c>
    </row>
    <row r="36" spans="1:6" x14ac:dyDescent="0.2">
      <c r="A36" s="18" t="s">
        <v>1410</v>
      </c>
      <c r="B36" s="4" t="s">
        <v>299</v>
      </c>
    </row>
    <row r="37" spans="1:6" x14ac:dyDescent="0.2">
      <c r="A37" s="18" t="s">
        <v>456</v>
      </c>
      <c r="B37" s="253" t="s">
        <v>645</v>
      </c>
      <c r="C37" s="66">
        <v>5948.54</v>
      </c>
      <c r="D37" s="8">
        <v>9470.24</v>
      </c>
      <c r="E37" s="8">
        <v>7500</v>
      </c>
      <c r="F37" s="66">
        <v>7000</v>
      </c>
    </row>
    <row r="38" spans="1:6" x14ac:dyDescent="0.2">
      <c r="A38" s="18" t="s">
        <v>457</v>
      </c>
      <c r="B38" s="253" t="s">
        <v>648</v>
      </c>
      <c r="C38" s="67">
        <v>11512.82</v>
      </c>
      <c r="D38" s="10">
        <v>11078.67</v>
      </c>
      <c r="E38" s="10">
        <v>10000</v>
      </c>
      <c r="F38" s="67">
        <v>7000</v>
      </c>
    </row>
    <row r="39" spans="1:6" x14ac:dyDescent="0.2">
      <c r="A39" s="18" t="s">
        <v>458</v>
      </c>
      <c r="B39" s="253" t="s">
        <v>1746</v>
      </c>
      <c r="C39" s="63">
        <v>3140.98</v>
      </c>
      <c r="D39" s="12">
        <v>2415.19</v>
      </c>
      <c r="E39" s="12">
        <v>1500</v>
      </c>
      <c r="F39" s="63">
        <v>1500</v>
      </c>
    </row>
    <row r="40" spans="1:6" ht="13.5" thickBot="1" x14ac:dyDescent="0.25">
      <c r="A40" s="18"/>
      <c r="B40" s="6" t="s">
        <v>129</v>
      </c>
      <c r="C40" s="78">
        <f>SUM(C37:C39)</f>
        <v>20602.34</v>
      </c>
      <c r="D40" s="14">
        <f>SUM(D37:D39)</f>
        <v>22964.1</v>
      </c>
      <c r="E40" s="14">
        <f>SUM(E37:E39)</f>
        <v>19000</v>
      </c>
      <c r="F40" s="78">
        <f>SUM(F37:F39)</f>
        <v>15500</v>
      </c>
    </row>
    <row r="41" spans="1:6" ht="13.5" thickTop="1" x14ac:dyDescent="0.2">
      <c r="A41" s="18"/>
      <c r="C41" s="62"/>
    </row>
    <row r="42" spans="1:6" x14ac:dyDescent="0.2">
      <c r="A42" s="18"/>
      <c r="B42" s="4" t="s">
        <v>844</v>
      </c>
      <c r="C42" s="62"/>
    </row>
    <row r="43" spans="1:6" x14ac:dyDescent="0.2">
      <c r="A43" s="18" t="s">
        <v>266</v>
      </c>
      <c r="B43" s="253" t="s">
        <v>2233</v>
      </c>
      <c r="C43" s="73">
        <v>26587.86</v>
      </c>
      <c r="D43" s="23">
        <v>2250</v>
      </c>
      <c r="E43" s="23">
        <v>25000</v>
      </c>
      <c r="F43" s="73">
        <v>63250</v>
      </c>
    </row>
    <row r="44" spans="1:6" ht="13.5" thickBot="1" x14ac:dyDescent="0.25">
      <c r="A44" s="18"/>
      <c r="B44" s="6" t="s">
        <v>1319</v>
      </c>
      <c r="C44" s="71">
        <f>SUM(C43)</f>
        <v>26587.86</v>
      </c>
      <c r="D44" s="17">
        <f>SUM(D43)</f>
        <v>2250</v>
      </c>
      <c r="E44" s="17">
        <f>SUM(E43)</f>
        <v>25000</v>
      </c>
      <c r="F44" s="71">
        <f>SUM(F43)</f>
        <v>63250</v>
      </c>
    </row>
    <row r="45" spans="1:6" ht="13.5" thickTop="1" x14ac:dyDescent="0.2">
      <c r="C45" s="62"/>
    </row>
    <row r="46" spans="1:6" x14ac:dyDescent="0.2">
      <c r="A46" s="18"/>
      <c r="B46" s="4" t="s">
        <v>638</v>
      </c>
      <c r="C46" s="62"/>
    </row>
    <row r="47" spans="1:6" x14ac:dyDescent="0.2">
      <c r="A47" s="18"/>
      <c r="B47" s="4" t="s">
        <v>265</v>
      </c>
      <c r="C47" s="62"/>
    </row>
    <row r="48" spans="1:6" x14ac:dyDescent="0.2">
      <c r="A48" s="18"/>
      <c r="B48" s="4" t="s">
        <v>1321</v>
      </c>
      <c r="C48" s="62"/>
    </row>
    <row r="49" spans="1:6" x14ac:dyDescent="0.2">
      <c r="A49" s="18"/>
      <c r="C49" s="7" t="str">
        <f>+$C$4</f>
        <v>2018 ACTUAL</v>
      </c>
      <c r="D49" s="7" t="str">
        <f>+$D$4</f>
        <v>2019 ACTUAL</v>
      </c>
      <c r="E49" s="7" t="str">
        <f>+E$4</f>
        <v>2020 BUDGET</v>
      </c>
      <c r="F49" s="77" t="str">
        <f>+F$4</f>
        <v>2021 BUDGET</v>
      </c>
    </row>
    <row r="50" spans="1:6" x14ac:dyDescent="0.2">
      <c r="A50" s="18"/>
      <c r="C50" s="75"/>
      <c r="D50" s="1"/>
      <c r="E50" s="1"/>
      <c r="F50" s="75"/>
    </row>
    <row r="51" spans="1:6" x14ac:dyDescent="0.2">
      <c r="A51" s="18"/>
      <c r="B51" t="s">
        <v>1322</v>
      </c>
      <c r="C51" s="66">
        <v>193419.96</v>
      </c>
      <c r="D51" s="8">
        <f>C59</f>
        <v>187434.44</v>
      </c>
      <c r="E51" s="8">
        <f>D59</f>
        <v>208148.54</v>
      </c>
      <c r="F51" s="66">
        <f>E59</f>
        <v>202148.54</v>
      </c>
    </row>
    <row r="52" spans="1:6" x14ac:dyDescent="0.2">
      <c r="C52" s="62"/>
    </row>
    <row r="53" spans="1:6" x14ac:dyDescent="0.2">
      <c r="A53" s="18"/>
      <c r="B53" t="s">
        <v>1323</v>
      </c>
      <c r="C53" s="67">
        <f>C40</f>
        <v>20602.34</v>
      </c>
      <c r="D53" s="10">
        <f>D40</f>
        <v>22964.1</v>
      </c>
      <c r="E53" s="10">
        <f>E40</f>
        <v>19000</v>
      </c>
      <c r="F53" s="67">
        <f>F40</f>
        <v>15500</v>
      </c>
    </row>
    <row r="54" spans="1:6" x14ac:dyDescent="0.2">
      <c r="A54" s="18"/>
      <c r="C54" s="67"/>
      <c r="D54" s="10"/>
      <c r="E54" s="10"/>
      <c r="F54" s="67"/>
    </row>
    <row r="55" spans="1:6" x14ac:dyDescent="0.2">
      <c r="A55" s="18"/>
      <c r="B55" t="s">
        <v>1324</v>
      </c>
      <c r="C55" s="67">
        <f>C44</f>
        <v>26587.86</v>
      </c>
      <c r="D55" s="10">
        <f>D44</f>
        <v>2250</v>
      </c>
      <c r="E55" s="10">
        <f>E44</f>
        <v>25000</v>
      </c>
      <c r="F55" s="67">
        <f>F44</f>
        <v>63250</v>
      </c>
    </row>
    <row r="56" spans="1:6" x14ac:dyDescent="0.2">
      <c r="A56" s="18"/>
      <c r="C56" s="67"/>
      <c r="D56" s="10"/>
      <c r="E56" s="10"/>
      <c r="F56" s="67"/>
    </row>
    <row r="57" spans="1:6" x14ac:dyDescent="0.2">
      <c r="A57" s="18"/>
      <c r="B57" t="s">
        <v>1325</v>
      </c>
      <c r="C57" s="63">
        <v>0</v>
      </c>
      <c r="D57" s="12">
        <v>0</v>
      </c>
      <c r="E57" s="12">
        <v>0</v>
      </c>
      <c r="F57" s="63">
        <v>0</v>
      </c>
    </row>
    <row r="58" spans="1:6" x14ac:dyDescent="0.2">
      <c r="C58" s="62"/>
    </row>
    <row r="59" spans="1:6" ht="13.5" thickBot="1" x14ac:dyDescent="0.25">
      <c r="B59" t="s">
        <v>1326</v>
      </c>
      <c r="C59" s="71">
        <f>C51+C53-C55+C57</f>
        <v>187434.44</v>
      </c>
      <c r="D59" s="17">
        <f>D51+D53-D55+D57</f>
        <v>208148.54</v>
      </c>
      <c r="E59" s="17">
        <f>E51+E53-E55+E57</f>
        <v>202148.54</v>
      </c>
      <c r="F59" s="71">
        <f>F51+F53-F55+F57</f>
        <v>154398.54</v>
      </c>
    </row>
    <row r="60" spans="1:6" ht="13.5" thickTop="1" x14ac:dyDescent="0.2"/>
    <row r="61" spans="1:6" x14ac:dyDescent="0.2">
      <c r="C61" s="10"/>
    </row>
    <row r="63" spans="1:6" x14ac:dyDescent="0.2">
      <c r="A63" s="18"/>
      <c r="B63" s="4" t="s">
        <v>638</v>
      </c>
      <c r="C63" s="1" t="s">
        <v>1410</v>
      </c>
      <c r="D63" s="1" t="s">
        <v>1410</v>
      </c>
      <c r="E63" s="1" t="s">
        <v>1410</v>
      </c>
      <c r="F63" s="75" t="s">
        <v>1410</v>
      </c>
    </row>
    <row r="64" spans="1:6" x14ac:dyDescent="0.2">
      <c r="A64" s="18"/>
      <c r="B64" s="4" t="s">
        <v>303</v>
      </c>
      <c r="C64" s="1" t="s">
        <v>1410</v>
      </c>
      <c r="D64" s="1" t="s">
        <v>1410</v>
      </c>
      <c r="E64" s="1" t="s">
        <v>1410</v>
      </c>
      <c r="F64" s="75" t="s">
        <v>1410</v>
      </c>
    </row>
    <row r="65" spans="1:6" ht="15" x14ac:dyDescent="0.25">
      <c r="A65" s="18"/>
      <c r="B65" s="4" t="s">
        <v>1410</v>
      </c>
      <c r="C65" s="1" t="s">
        <v>1410</v>
      </c>
      <c r="D65" s="1" t="s">
        <v>1410</v>
      </c>
      <c r="E65" s="241"/>
      <c r="F65" s="293"/>
    </row>
    <row r="66" spans="1:6" x14ac:dyDescent="0.2">
      <c r="A66" s="18"/>
      <c r="C66" s="7" t="str">
        <f>+$C$4</f>
        <v>2018 ACTUAL</v>
      </c>
      <c r="D66" s="7" t="str">
        <f>+$D$4</f>
        <v>2019 ACTUAL</v>
      </c>
      <c r="E66" s="7" t="str">
        <f>+E$4</f>
        <v>2020 BUDGET</v>
      </c>
      <c r="F66" s="77" t="str">
        <f>+F$4</f>
        <v>2021 BUDGET</v>
      </c>
    </row>
    <row r="67" spans="1:6" x14ac:dyDescent="0.2">
      <c r="A67" s="18" t="s">
        <v>1410</v>
      </c>
      <c r="B67" s="4" t="s">
        <v>299</v>
      </c>
    </row>
    <row r="68" spans="1:6" x14ac:dyDescent="0.2">
      <c r="A68" s="18" t="s">
        <v>454</v>
      </c>
      <c r="B68" s="253" t="s">
        <v>2234</v>
      </c>
      <c r="C68" s="66">
        <v>134315</v>
      </c>
      <c r="D68" s="8">
        <v>142485</v>
      </c>
      <c r="E68" s="8">
        <v>120000</v>
      </c>
      <c r="F68" s="66">
        <v>100000</v>
      </c>
    </row>
    <row r="69" spans="1:6" hidden="1" x14ac:dyDescent="0.2">
      <c r="A69" s="18" t="s">
        <v>405</v>
      </c>
      <c r="B69" s="253" t="s">
        <v>1012</v>
      </c>
      <c r="C69" s="67">
        <v>0</v>
      </c>
      <c r="D69" s="10">
        <v>0</v>
      </c>
      <c r="E69" s="10">
        <v>0</v>
      </c>
      <c r="F69" s="67">
        <v>0</v>
      </c>
    </row>
    <row r="70" spans="1:6" x14ac:dyDescent="0.2">
      <c r="A70" s="18" t="s">
        <v>455</v>
      </c>
      <c r="B70" s="253" t="s">
        <v>1746</v>
      </c>
      <c r="C70" s="63">
        <v>2577.5500000000002</v>
      </c>
      <c r="D70" s="12">
        <v>5114.37</v>
      </c>
      <c r="E70" s="12">
        <v>2000</v>
      </c>
      <c r="F70" s="63">
        <v>1000</v>
      </c>
    </row>
    <row r="71" spans="1:6" ht="13.5" thickBot="1" x14ac:dyDescent="0.25">
      <c r="A71" s="18"/>
      <c r="B71" s="6" t="s">
        <v>129</v>
      </c>
      <c r="C71" s="78">
        <f>SUM(C68:C70)</f>
        <v>136892.54999999999</v>
      </c>
      <c r="D71" s="14">
        <f>SUM(D68:D70)</f>
        <v>147599.37</v>
      </c>
      <c r="E71" s="14">
        <f>SUM(E68:E70)</f>
        <v>122000</v>
      </c>
      <c r="F71" s="78">
        <f>SUM(F68:F70)</f>
        <v>101000</v>
      </c>
    </row>
    <row r="72" spans="1:6" ht="13.5" thickTop="1" x14ac:dyDescent="0.2">
      <c r="A72" s="18"/>
      <c r="C72" s="62"/>
    </row>
    <row r="73" spans="1:6" x14ac:dyDescent="0.2">
      <c r="A73" s="18"/>
      <c r="B73" s="4" t="s">
        <v>844</v>
      </c>
      <c r="C73" s="62"/>
    </row>
    <row r="74" spans="1:6" x14ac:dyDescent="0.2">
      <c r="A74" s="18" t="s">
        <v>407</v>
      </c>
      <c r="B74" s="253" t="s">
        <v>1899</v>
      </c>
      <c r="C74" s="72">
        <v>0</v>
      </c>
      <c r="D74" s="15">
        <v>0</v>
      </c>
      <c r="E74" s="15">
        <v>0</v>
      </c>
      <c r="F74" s="72">
        <v>0</v>
      </c>
    </row>
    <row r="75" spans="1:6" x14ac:dyDescent="0.2">
      <c r="A75" s="18" t="s">
        <v>406</v>
      </c>
      <c r="B75" s="253" t="s">
        <v>2233</v>
      </c>
      <c r="C75" s="92">
        <v>125196.09</v>
      </c>
      <c r="D75" s="11">
        <v>134826.65</v>
      </c>
      <c r="E75" s="11">
        <v>120000</v>
      </c>
      <c r="F75" s="92">
        <v>0</v>
      </c>
    </row>
    <row r="76" spans="1:6" ht="13.5" thickBot="1" x14ac:dyDescent="0.25">
      <c r="A76" s="18"/>
      <c r="B76" s="6" t="s">
        <v>1319</v>
      </c>
      <c r="C76" s="71">
        <f>SUM(C74:C75)</f>
        <v>125196.09</v>
      </c>
      <c r="D76" s="71">
        <f>SUM(D74:D75)</f>
        <v>134826.65</v>
      </c>
      <c r="E76" s="71">
        <f>SUM(E74:E75)</f>
        <v>120000</v>
      </c>
      <c r="F76" s="71">
        <f>SUM(F74:F75)</f>
        <v>0</v>
      </c>
    </row>
    <row r="77" spans="1:6" ht="13.5" thickTop="1" x14ac:dyDescent="0.2">
      <c r="A77" s="18"/>
      <c r="B77" s="6"/>
      <c r="C77" s="72" t="s">
        <v>1410</v>
      </c>
      <c r="D77" s="15" t="s">
        <v>1410</v>
      </c>
      <c r="E77" s="15" t="s">
        <v>1410</v>
      </c>
      <c r="F77" s="72" t="s">
        <v>1410</v>
      </c>
    </row>
    <row r="78" spans="1:6" x14ac:dyDescent="0.2">
      <c r="A78" s="18"/>
      <c r="B78" s="4" t="s">
        <v>638</v>
      </c>
      <c r="C78" s="62"/>
    </row>
    <row r="79" spans="1:6" x14ac:dyDescent="0.2">
      <c r="A79" s="18"/>
      <c r="B79" s="4" t="s">
        <v>303</v>
      </c>
      <c r="C79" s="62"/>
    </row>
    <row r="80" spans="1:6" x14ac:dyDescent="0.2">
      <c r="A80" s="18"/>
      <c r="B80" s="4" t="s">
        <v>1321</v>
      </c>
      <c r="C80" s="62"/>
    </row>
    <row r="81" spans="1:6" x14ac:dyDescent="0.2">
      <c r="A81" s="18"/>
      <c r="C81" s="7" t="str">
        <f>+$C$4</f>
        <v>2018 ACTUAL</v>
      </c>
      <c r="D81" s="7" t="str">
        <f>+$D$4</f>
        <v>2019 ACTUAL</v>
      </c>
      <c r="E81" s="7" t="str">
        <f>+E$4</f>
        <v>2020 BUDGET</v>
      </c>
      <c r="F81" s="77" t="str">
        <f>+F$4</f>
        <v>2021 BUDGET</v>
      </c>
    </row>
    <row r="82" spans="1:6" x14ac:dyDescent="0.2">
      <c r="A82" s="18"/>
      <c r="C82" s="75"/>
      <c r="D82" s="1"/>
      <c r="E82" s="1"/>
      <c r="F82" s="75"/>
    </row>
    <row r="83" spans="1:6" x14ac:dyDescent="0.2">
      <c r="A83" s="18"/>
      <c r="B83" t="s">
        <v>1322</v>
      </c>
      <c r="C83" s="66">
        <v>89653.47</v>
      </c>
      <c r="D83" s="8">
        <f>C91</f>
        <v>101349.93</v>
      </c>
      <c r="E83" s="8">
        <f>D91</f>
        <v>114122.65</v>
      </c>
      <c r="F83" s="66">
        <f>E91</f>
        <v>116122.65</v>
      </c>
    </row>
    <row r="84" spans="1:6" x14ac:dyDescent="0.2">
      <c r="C84" s="81" t="s">
        <v>1410</v>
      </c>
      <c r="D84" s="9" t="s">
        <v>1410</v>
      </c>
      <c r="E84" s="9" t="s">
        <v>1410</v>
      </c>
      <c r="F84" s="81" t="s">
        <v>1410</v>
      </c>
    </row>
    <row r="85" spans="1:6" x14ac:dyDescent="0.2">
      <c r="B85" t="s">
        <v>1323</v>
      </c>
      <c r="C85" s="67">
        <f>C71</f>
        <v>136892.54999999999</v>
      </c>
      <c r="D85" s="10">
        <f>D71</f>
        <v>147599.37</v>
      </c>
      <c r="E85" s="10">
        <f>E71</f>
        <v>122000</v>
      </c>
      <c r="F85" s="67">
        <f>F71</f>
        <v>101000</v>
      </c>
    </row>
    <row r="86" spans="1:6" x14ac:dyDescent="0.2">
      <c r="C86" s="67"/>
      <c r="D86" s="10"/>
      <c r="E86" s="10"/>
      <c r="F86" s="67"/>
    </row>
    <row r="87" spans="1:6" x14ac:dyDescent="0.2">
      <c r="B87" t="s">
        <v>1324</v>
      </c>
      <c r="C87" s="67">
        <f>C76</f>
        <v>125196.09</v>
      </c>
      <c r="D87" s="10">
        <f>D76</f>
        <v>134826.65</v>
      </c>
      <c r="E87" s="10">
        <f>E76</f>
        <v>120000</v>
      </c>
      <c r="F87" s="67">
        <f>F76</f>
        <v>0</v>
      </c>
    </row>
    <row r="88" spans="1:6" x14ac:dyDescent="0.2">
      <c r="C88" s="66" t="s">
        <v>1410</v>
      </c>
      <c r="D88" s="8" t="s">
        <v>1410</v>
      </c>
      <c r="E88" s="8" t="s">
        <v>1410</v>
      </c>
      <c r="F88" s="66" t="s">
        <v>1410</v>
      </c>
    </row>
    <row r="89" spans="1:6" x14ac:dyDescent="0.2">
      <c r="B89" t="s">
        <v>1325</v>
      </c>
      <c r="C89" s="63">
        <v>0</v>
      </c>
      <c r="D89" s="12">
        <v>0</v>
      </c>
      <c r="E89" s="12">
        <v>0</v>
      </c>
      <c r="F89" s="63">
        <v>0</v>
      </c>
    </row>
    <row r="90" spans="1:6" x14ac:dyDescent="0.2">
      <c r="C90" s="62"/>
    </row>
    <row r="91" spans="1:6" ht="13.5" thickBot="1" x14ac:dyDescent="0.25">
      <c r="B91" t="s">
        <v>1326</v>
      </c>
      <c r="C91" s="100">
        <f>C83+C85-C87+C89</f>
        <v>101349.93</v>
      </c>
      <c r="D91" s="35">
        <f>D83+D85-D87+D89</f>
        <v>114122.65</v>
      </c>
      <c r="E91" s="35">
        <f>E83+E85-E87+E89</f>
        <v>116122.65</v>
      </c>
      <c r="F91" s="100">
        <f>F83+F85-F87+F89</f>
        <v>217122.65</v>
      </c>
    </row>
    <row r="92" spans="1:6" ht="13.5" thickTop="1" x14ac:dyDescent="0.2"/>
    <row r="93" spans="1:6" x14ac:dyDescent="0.2">
      <c r="C93" s="10"/>
    </row>
    <row r="94" spans="1:6" x14ac:dyDescent="0.2">
      <c r="A94" s="18"/>
      <c r="B94" s="4" t="s">
        <v>638</v>
      </c>
      <c r="C94" s="1" t="s">
        <v>1410</v>
      </c>
      <c r="D94" s="1" t="s">
        <v>1410</v>
      </c>
      <c r="E94" s="1" t="s">
        <v>1410</v>
      </c>
      <c r="F94" s="75" t="s">
        <v>1410</v>
      </c>
    </row>
    <row r="95" spans="1:6" x14ac:dyDescent="0.2">
      <c r="A95" s="18"/>
      <c r="B95" s="4" t="s">
        <v>305</v>
      </c>
      <c r="C95" s="1" t="s">
        <v>1410</v>
      </c>
      <c r="D95" s="1" t="s">
        <v>1410</v>
      </c>
      <c r="E95" s="1" t="s">
        <v>1410</v>
      </c>
      <c r="F95" s="75" t="s">
        <v>1410</v>
      </c>
    </row>
    <row r="96" spans="1:6" ht="15" x14ac:dyDescent="0.25">
      <c r="A96" s="18"/>
      <c r="B96" s="4" t="s">
        <v>1410</v>
      </c>
      <c r="C96" s="1" t="s">
        <v>1410</v>
      </c>
      <c r="D96" s="1" t="s">
        <v>1410</v>
      </c>
      <c r="E96" s="241"/>
      <c r="F96" s="293"/>
    </row>
    <row r="97" spans="1:6" x14ac:dyDescent="0.2">
      <c r="A97" s="18"/>
      <c r="C97" s="7" t="str">
        <f>+$C$4</f>
        <v>2018 ACTUAL</v>
      </c>
      <c r="D97" s="7" t="str">
        <f>+$D$4</f>
        <v>2019 ACTUAL</v>
      </c>
      <c r="E97" s="7" t="str">
        <f>+E$4</f>
        <v>2020 BUDGET</v>
      </c>
      <c r="F97" s="77" t="str">
        <f>+F$4</f>
        <v>2021 BUDGET</v>
      </c>
    </row>
    <row r="98" spans="1:6" x14ac:dyDescent="0.2">
      <c r="A98" s="18" t="s">
        <v>1410</v>
      </c>
      <c r="B98" s="4" t="s">
        <v>299</v>
      </c>
    </row>
    <row r="99" spans="1:6" x14ac:dyDescent="0.2">
      <c r="A99" s="18" t="s">
        <v>452</v>
      </c>
      <c r="B99" s="253" t="s">
        <v>2235</v>
      </c>
      <c r="C99" s="66">
        <v>3792</v>
      </c>
      <c r="D99" s="8">
        <v>4403</v>
      </c>
      <c r="E99" s="8">
        <v>3300</v>
      </c>
      <c r="F99" s="66">
        <v>3300</v>
      </c>
    </row>
    <row r="100" spans="1:6" x14ac:dyDescent="0.2">
      <c r="A100" s="18" t="s">
        <v>453</v>
      </c>
      <c r="B100" s="253" t="s">
        <v>1746</v>
      </c>
      <c r="C100" s="63">
        <v>50.63</v>
      </c>
      <c r="D100" s="12">
        <v>16.72</v>
      </c>
      <c r="E100" s="12">
        <v>20</v>
      </c>
      <c r="F100" s="63">
        <v>20</v>
      </c>
    </row>
    <row r="101" spans="1:6" ht="13.5" thickBot="1" x14ac:dyDescent="0.25">
      <c r="A101" s="18"/>
      <c r="B101" s="6" t="s">
        <v>129</v>
      </c>
      <c r="C101" s="78">
        <f>SUM(C99:C100)</f>
        <v>3842.63</v>
      </c>
      <c r="D101" s="14">
        <f>SUM(D99:D100)</f>
        <v>4419.72</v>
      </c>
      <c r="E101" s="14">
        <f>SUM(E99:E100)</f>
        <v>3320</v>
      </c>
      <c r="F101" s="78">
        <f>SUM(F99:F100)</f>
        <v>3320</v>
      </c>
    </row>
    <row r="102" spans="1:6" ht="13.5" thickTop="1" x14ac:dyDescent="0.2">
      <c r="A102" s="18"/>
      <c r="C102" s="62"/>
    </row>
    <row r="103" spans="1:6" x14ac:dyDescent="0.2">
      <c r="A103" s="18"/>
      <c r="B103" s="4" t="s">
        <v>844</v>
      </c>
      <c r="C103" s="62"/>
    </row>
    <row r="104" spans="1:6" x14ac:dyDescent="0.2">
      <c r="A104" s="18" t="s">
        <v>74</v>
      </c>
      <c r="B104" s="253" t="s">
        <v>1899</v>
      </c>
      <c r="C104" s="72">
        <v>0</v>
      </c>
      <c r="D104" s="15">
        <v>0</v>
      </c>
      <c r="E104" s="15">
        <v>0</v>
      </c>
      <c r="F104" s="72">
        <v>0</v>
      </c>
    </row>
    <row r="105" spans="1:6" x14ac:dyDescent="0.2">
      <c r="A105" s="18" t="s">
        <v>73</v>
      </c>
      <c r="B105" s="254" t="s">
        <v>2236</v>
      </c>
      <c r="C105" s="92">
        <v>10000</v>
      </c>
      <c r="D105" s="11">
        <v>438.29</v>
      </c>
      <c r="E105" s="11">
        <v>0</v>
      </c>
      <c r="F105" s="92">
        <v>10000</v>
      </c>
    </row>
    <row r="106" spans="1:6" ht="13.5" thickBot="1" x14ac:dyDescent="0.25">
      <c r="A106" s="18"/>
      <c r="B106" s="6" t="s">
        <v>1319</v>
      </c>
      <c r="C106" s="71">
        <f>SUM(C104:C105)</f>
        <v>10000</v>
      </c>
      <c r="D106" s="71">
        <f>SUM(D104:D105)</f>
        <v>438.29</v>
      </c>
      <c r="E106" s="71">
        <f>SUM(E104:E105)</f>
        <v>0</v>
      </c>
      <c r="F106" s="71">
        <f>SUM(F104:F105)</f>
        <v>10000</v>
      </c>
    </row>
    <row r="107" spans="1:6" ht="13.5" thickTop="1" x14ac:dyDescent="0.2">
      <c r="C107" s="62"/>
    </row>
    <row r="108" spans="1:6" x14ac:dyDescent="0.2">
      <c r="A108" s="18"/>
      <c r="B108" s="4" t="s">
        <v>638</v>
      </c>
      <c r="C108" s="62"/>
    </row>
    <row r="109" spans="1:6" x14ac:dyDescent="0.2">
      <c r="A109" s="18"/>
      <c r="B109" s="4" t="s">
        <v>305</v>
      </c>
      <c r="C109" s="62"/>
    </row>
    <row r="110" spans="1:6" x14ac:dyDescent="0.2">
      <c r="A110" s="18"/>
      <c r="B110" s="4" t="s">
        <v>1321</v>
      </c>
      <c r="C110" s="62"/>
    </row>
    <row r="111" spans="1:6" x14ac:dyDescent="0.2">
      <c r="A111" s="18"/>
      <c r="C111" s="7" t="str">
        <f>+$C$4</f>
        <v>2018 ACTUAL</v>
      </c>
      <c r="D111" s="7" t="str">
        <f>+$D$4</f>
        <v>2019 ACTUAL</v>
      </c>
      <c r="E111" s="7" t="str">
        <f>+E$4</f>
        <v>2020 BUDGET</v>
      </c>
      <c r="F111" s="77" t="str">
        <f>+F$4</f>
        <v>2021 BUDGET</v>
      </c>
    </row>
    <row r="112" spans="1:6" x14ac:dyDescent="0.2">
      <c r="A112" s="18"/>
      <c r="C112" s="75"/>
      <c r="D112" s="1"/>
      <c r="E112" s="1"/>
      <c r="F112" s="75"/>
    </row>
    <row r="113" spans="1:6" x14ac:dyDescent="0.2">
      <c r="A113" s="18"/>
      <c r="B113" t="s">
        <v>1322</v>
      </c>
      <c r="C113" s="66">
        <v>12073.58</v>
      </c>
      <c r="D113" s="8">
        <f>C121</f>
        <v>5916.2099999999991</v>
      </c>
      <c r="E113" s="8">
        <f>D121</f>
        <v>9897.64</v>
      </c>
      <c r="F113" s="66">
        <f>E121</f>
        <v>13217.64</v>
      </c>
    </row>
    <row r="114" spans="1:6" x14ac:dyDescent="0.2">
      <c r="C114" s="81" t="s">
        <v>1410</v>
      </c>
      <c r="D114" s="9" t="s">
        <v>1410</v>
      </c>
      <c r="E114" s="9" t="s">
        <v>1410</v>
      </c>
      <c r="F114" s="81" t="s">
        <v>1410</v>
      </c>
    </row>
    <row r="115" spans="1:6" x14ac:dyDescent="0.2">
      <c r="B115" t="s">
        <v>1323</v>
      </c>
      <c r="C115" s="67">
        <f>C101</f>
        <v>3842.63</v>
      </c>
      <c r="D115" s="10">
        <f>D101</f>
        <v>4419.72</v>
      </c>
      <c r="E115" s="10">
        <f>E101</f>
        <v>3320</v>
      </c>
      <c r="F115" s="67">
        <f>F101</f>
        <v>3320</v>
      </c>
    </row>
    <row r="116" spans="1:6" x14ac:dyDescent="0.2">
      <c r="C116" s="67"/>
      <c r="D116" s="10"/>
      <c r="E116" s="10"/>
      <c r="F116" s="67"/>
    </row>
    <row r="117" spans="1:6" x14ac:dyDescent="0.2">
      <c r="B117" t="s">
        <v>1324</v>
      </c>
      <c r="C117" s="67">
        <f>C106</f>
        <v>10000</v>
      </c>
      <c r="D117" s="10">
        <f>D106</f>
        <v>438.29</v>
      </c>
      <c r="E117" s="10">
        <f>E106</f>
        <v>0</v>
      </c>
      <c r="F117" s="67">
        <f>F106</f>
        <v>10000</v>
      </c>
    </row>
    <row r="118" spans="1:6" x14ac:dyDescent="0.2">
      <c r="C118" s="66" t="s">
        <v>1410</v>
      </c>
      <c r="D118" s="8" t="s">
        <v>1410</v>
      </c>
      <c r="E118" s="8" t="s">
        <v>1410</v>
      </c>
      <c r="F118" s="66" t="s">
        <v>1410</v>
      </c>
    </row>
    <row r="119" spans="1:6" x14ac:dyDescent="0.2">
      <c r="B119" t="s">
        <v>1325</v>
      </c>
      <c r="C119" s="63">
        <v>0</v>
      </c>
      <c r="D119" s="12">
        <v>0</v>
      </c>
      <c r="E119" s="12">
        <v>0</v>
      </c>
      <c r="F119" s="63">
        <v>0</v>
      </c>
    </row>
    <row r="120" spans="1:6" x14ac:dyDescent="0.2">
      <c r="C120" s="62"/>
    </row>
    <row r="121" spans="1:6" ht="13.5" thickBot="1" x14ac:dyDescent="0.25">
      <c r="B121" t="s">
        <v>1326</v>
      </c>
      <c r="C121" s="100">
        <f>C113+C115-C117+C119</f>
        <v>5916.2099999999991</v>
      </c>
      <c r="D121" s="35">
        <f>D113+D115-D117+D119</f>
        <v>9897.64</v>
      </c>
      <c r="E121" s="35">
        <f>E113+E115-E117+E119</f>
        <v>13217.64</v>
      </c>
      <c r="F121" s="100">
        <f>F113+F115-F117+F119</f>
        <v>6537.6399999999994</v>
      </c>
    </row>
    <row r="122" spans="1:6" ht="13.5" thickTop="1" x14ac:dyDescent="0.2"/>
    <row r="123" spans="1:6" x14ac:dyDescent="0.2">
      <c r="C123" s="10"/>
    </row>
    <row r="125" spans="1:6" x14ac:dyDescent="0.2">
      <c r="B125" s="4" t="s">
        <v>638</v>
      </c>
      <c r="C125" s="1" t="s">
        <v>1410</v>
      </c>
      <c r="D125" s="1" t="s">
        <v>1410</v>
      </c>
      <c r="E125" s="1" t="s">
        <v>1410</v>
      </c>
      <c r="F125" s="75" t="s">
        <v>1410</v>
      </c>
    </row>
    <row r="126" spans="1:6" x14ac:dyDescent="0.2">
      <c r="B126" s="4" t="s">
        <v>267</v>
      </c>
      <c r="C126" s="1" t="s">
        <v>1410</v>
      </c>
      <c r="D126" s="1" t="s">
        <v>1410</v>
      </c>
      <c r="E126" s="1" t="s">
        <v>1410</v>
      </c>
      <c r="F126" s="75" t="s">
        <v>1410</v>
      </c>
    </row>
    <row r="127" spans="1:6" ht="15" x14ac:dyDescent="0.25">
      <c r="B127" s="4" t="s">
        <v>1410</v>
      </c>
      <c r="C127" s="1" t="s">
        <v>1410</v>
      </c>
      <c r="D127" s="1" t="s">
        <v>1410</v>
      </c>
      <c r="E127" s="241"/>
      <c r="F127" s="293"/>
    </row>
    <row r="128" spans="1:6" x14ac:dyDescent="0.2">
      <c r="C128" s="7" t="str">
        <f>+$C$4</f>
        <v>2018 ACTUAL</v>
      </c>
      <c r="D128" s="7" t="str">
        <f>+$D$4</f>
        <v>2019 ACTUAL</v>
      </c>
      <c r="E128" s="7" t="str">
        <f>+E$4</f>
        <v>2020 BUDGET</v>
      </c>
      <c r="F128" s="77" t="str">
        <f>+F$4</f>
        <v>2021 BUDGET</v>
      </c>
    </row>
    <row r="129" spans="1:6" x14ac:dyDescent="0.2">
      <c r="A129" s="18" t="s">
        <v>1410</v>
      </c>
      <c r="B129" s="4" t="s">
        <v>299</v>
      </c>
    </row>
    <row r="130" spans="1:6" x14ac:dyDescent="0.2">
      <c r="A130" s="18" t="s">
        <v>450</v>
      </c>
      <c r="B130" s="253" t="s">
        <v>648</v>
      </c>
      <c r="C130" s="66">
        <v>5377.96</v>
      </c>
      <c r="D130" s="8">
        <v>4925.45</v>
      </c>
      <c r="E130" s="8">
        <v>5300</v>
      </c>
      <c r="F130" s="66">
        <v>5000</v>
      </c>
    </row>
    <row r="131" spans="1:6" x14ac:dyDescent="0.2">
      <c r="A131" s="18" t="s">
        <v>451</v>
      </c>
      <c r="B131" s="253" t="s">
        <v>1746</v>
      </c>
      <c r="C131" s="63">
        <v>732.2</v>
      </c>
      <c r="D131" s="12">
        <v>1121.6500000000001</v>
      </c>
      <c r="E131" s="12">
        <v>45</v>
      </c>
      <c r="F131" s="63">
        <v>20</v>
      </c>
    </row>
    <row r="132" spans="1:6" ht="13.5" thickBot="1" x14ac:dyDescent="0.25">
      <c r="A132" s="18"/>
      <c r="B132" s="6" t="s">
        <v>1099</v>
      </c>
      <c r="C132" s="78">
        <f>SUM(C130:C131)</f>
        <v>6110.16</v>
      </c>
      <c r="D132" s="14">
        <f>SUM(D130:D131)</f>
        <v>6047.1</v>
      </c>
      <c r="E132" s="14">
        <f>SUM(E130:E131)</f>
        <v>5345</v>
      </c>
      <c r="F132" s="78">
        <f>SUM(F130:F131)</f>
        <v>5020</v>
      </c>
    </row>
    <row r="133" spans="1:6" ht="13.5" thickTop="1" x14ac:dyDescent="0.2">
      <c r="A133" s="18"/>
      <c r="C133" s="62"/>
    </row>
    <row r="134" spans="1:6" x14ac:dyDescent="0.2">
      <c r="A134" s="18"/>
      <c r="B134" s="4" t="s">
        <v>844</v>
      </c>
      <c r="C134" s="62"/>
    </row>
    <row r="135" spans="1:6" x14ac:dyDescent="0.2">
      <c r="A135" s="18" t="s">
        <v>268</v>
      </c>
      <c r="B135" s="253" t="s">
        <v>2237</v>
      </c>
      <c r="C135" s="101">
        <v>28088.54</v>
      </c>
      <c r="D135" s="42">
        <v>17934.07</v>
      </c>
      <c r="E135" s="42">
        <v>25000</v>
      </c>
      <c r="F135" s="101">
        <v>17500</v>
      </c>
    </row>
    <row r="136" spans="1:6" ht="13.5" thickBot="1" x14ac:dyDescent="0.25">
      <c r="A136" s="18"/>
      <c r="B136" s="6" t="s">
        <v>1099</v>
      </c>
      <c r="C136" s="71">
        <f>SUM(C135)</f>
        <v>28088.54</v>
      </c>
      <c r="D136" s="17">
        <f>SUM(D135)</f>
        <v>17934.07</v>
      </c>
      <c r="E136" s="17">
        <f>SUM(E135)</f>
        <v>25000</v>
      </c>
      <c r="F136" s="71">
        <f>SUM(F135)</f>
        <v>17500</v>
      </c>
    </row>
    <row r="137" spans="1:6" ht="13.5" thickTop="1" x14ac:dyDescent="0.2">
      <c r="A137" s="18"/>
      <c r="B137" s="6"/>
      <c r="C137" s="72"/>
      <c r="D137" s="15"/>
      <c r="E137" s="15"/>
      <c r="F137" s="72"/>
    </row>
    <row r="138" spans="1:6" x14ac:dyDescent="0.2">
      <c r="A138" s="18"/>
      <c r="B138" s="4" t="s">
        <v>638</v>
      </c>
      <c r="C138" s="62"/>
    </row>
    <row r="139" spans="1:6" x14ac:dyDescent="0.2">
      <c r="A139" s="18"/>
      <c r="B139" s="4" t="s">
        <v>269</v>
      </c>
      <c r="C139" s="62"/>
    </row>
    <row r="140" spans="1:6" x14ac:dyDescent="0.2">
      <c r="A140" s="18"/>
      <c r="B140" s="4" t="s">
        <v>1321</v>
      </c>
      <c r="C140" s="62"/>
    </row>
    <row r="141" spans="1:6" x14ac:dyDescent="0.2">
      <c r="A141" s="18"/>
      <c r="C141" s="7" t="str">
        <f>+$C$4</f>
        <v>2018 ACTUAL</v>
      </c>
      <c r="D141" s="7" t="str">
        <f>+$D$4</f>
        <v>2019 ACTUAL</v>
      </c>
      <c r="E141" s="7" t="str">
        <f>+E$4</f>
        <v>2020 BUDGET</v>
      </c>
      <c r="F141" s="77" t="str">
        <f>+F$4</f>
        <v>2021 BUDGET</v>
      </c>
    </row>
    <row r="142" spans="1:6" x14ac:dyDescent="0.2">
      <c r="A142" s="18"/>
      <c r="C142" s="75"/>
      <c r="D142" s="1"/>
      <c r="E142" s="1"/>
      <c r="F142" s="75"/>
    </row>
    <row r="143" spans="1:6" x14ac:dyDescent="0.2">
      <c r="B143" t="s">
        <v>1322</v>
      </c>
      <c r="C143" s="66">
        <v>73219.55</v>
      </c>
      <c r="D143" s="66">
        <f>+C151</f>
        <v>51241.170000000006</v>
      </c>
      <c r="E143" s="8">
        <f>+D151</f>
        <v>39354.200000000004</v>
      </c>
      <c r="F143" s="66">
        <f>+E151</f>
        <v>19699.200000000004</v>
      </c>
    </row>
    <row r="144" spans="1:6" x14ac:dyDescent="0.2">
      <c r="C144" s="62"/>
    </row>
    <row r="145" spans="1:6" x14ac:dyDescent="0.2">
      <c r="B145" t="s">
        <v>1323</v>
      </c>
      <c r="C145" s="67">
        <f>C132</f>
        <v>6110.16</v>
      </c>
      <c r="D145" s="10">
        <f>D132</f>
        <v>6047.1</v>
      </c>
      <c r="E145" s="10">
        <f>E132</f>
        <v>5345</v>
      </c>
      <c r="F145" s="67">
        <f>F132</f>
        <v>5020</v>
      </c>
    </row>
    <row r="146" spans="1:6" x14ac:dyDescent="0.2">
      <c r="C146" s="67"/>
      <c r="D146" s="10"/>
      <c r="E146" s="10"/>
      <c r="F146" s="67"/>
    </row>
    <row r="147" spans="1:6" x14ac:dyDescent="0.2">
      <c r="B147" t="s">
        <v>1324</v>
      </c>
      <c r="C147" s="67">
        <f>C136</f>
        <v>28088.54</v>
      </c>
      <c r="D147" s="10">
        <f>D136</f>
        <v>17934.07</v>
      </c>
      <c r="E147" s="10">
        <f>E136</f>
        <v>25000</v>
      </c>
      <c r="F147" s="67">
        <f>F136</f>
        <v>17500</v>
      </c>
    </row>
    <row r="148" spans="1:6" x14ac:dyDescent="0.2">
      <c r="C148" s="67"/>
      <c r="D148" s="10"/>
      <c r="E148" s="10"/>
      <c r="F148" s="67"/>
    </row>
    <row r="149" spans="1:6" x14ac:dyDescent="0.2">
      <c r="B149" t="s">
        <v>1325</v>
      </c>
      <c r="C149" s="63">
        <v>0</v>
      </c>
      <c r="D149" s="12">
        <v>0</v>
      </c>
      <c r="E149" s="12">
        <v>0</v>
      </c>
      <c r="F149" s="63">
        <v>0</v>
      </c>
    </row>
    <row r="150" spans="1:6" x14ac:dyDescent="0.2">
      <c r="C150" s="62"/>
    </row>
    <row r="151" spans="1:6" ht="13.5" thickBot="1" x14ac:dyDescent="0.25">
      <c r="B151" t="s">
        <v>1326</v>
      </c>
      <c r="C151" s="71">
        <f>C143+C145-C147+C149</f>
        <v>51241.170000000006</v>
      </c>
      <c r="D151" s="17">
        <f>D143+D145-D147+D149</f>
        <v>39354.200000000004</v>
      </c>
      <c r="E151" s="17">
        <f>E143+E145-E147+E149</f>
        <v>19699.200000000004</v>
      </c>
      <c r="F151" s="71">
        <f>F143+F145-F147+F149</f>
        <v>7219.2000000000044</v>
      </c>
    </row>
    <row r="152" spans="1:6" ht="13.5" thickTop="1" x14ac:dyDescent="0.2"/>
    <row r="153" spans="1:6" x14ac:dyDescent="0.2">
      <c r="C153" s="10"/>
      <c r="D153" s="10"/>
    </row>
    <row r="156" spans="1:6" x14ac:dyDescent="0.2">
      <c r="B156" s="4" t="s">
        <v>638</v>
      </c>
      <c r="C156" s="1" t="s">
        <v>1410</v>
      </c>
      <c r="D156" s="1" t="s">
        <v>1410</v>
      </c>
      <c r="E156" s="1" t="s">
        <v>1410</v>
      </c>
      <c r="F156" s="75" t="s">
        <v>1410</v>
      </c>
    </row>
    <row r="157" spans="1:6" x14ac:dyDescent="0.2">
      <c r="B157" s="4" t="s">
        <v>408</v>
      </c>
      <c r="C157" s="1" t="s">
        <v>1410</v>
      </c>
      <c r="D157" s="1" t="s">
        <v>1410</v>
      </c>
      <c r="E157" s="1"/>
      <c r="F157" s="75"/>
    </row>
    <row r="158" spans="1:6" ht="15" x14ac:dyDescent="0.25">
      <c r="B158" s="4" t="s">
        <v>1410</v>
      </c>
      <c r="C158" s="1" t="s">
        <v>1410</v>
      </c>
      <c r="D158" s="1" t="s">
        <v>1410</v>
      </c>
      <c r="E158" s="241"/>
      <c r="F158" s="293"/>
    </row>
    <row r="159" spans="1:6" x14ac:dyDescent="0.2">
      <c r="C159" s="7" t="str">
        <f>+$C$4</f>
        <v>2018 ACTUAL</v>
      </c>
      <c r="D159" s="7" t="str">
        <f>+$D$4</f>
        <v>2019 ACTUAL</v>
      </c>
      <c r="E159" s="7" t="str">
        <f>+E$4</f>
        <v>2020 BUDGET</v>
      </c>
      <c r="F159" s="77" t="str">
        <f>+F$4</f>
        <v>2021 BUDGET</v>
      </c>
    </row>
    <row r="160" spans="1:6" x14ac:dyDescent="0.2">
      <c r="A160" s="18" t="s">
        <v>1410</v>
      </c>
      <c r="B160" s="4" t="s">
        <v>299</v>
      </c>
    </row>
    <row r="161" spans="1:6" x14ac:dyDescent="0.2">
      <c r="A161" s="18" t="s">
        <v>448</v>
      </c>
      <c r="B161" s="253" t="s">
        <v>2238</v>
      </c>
      <c r="C161" s="66">
        <v>6071.74</v>
      </c>
      <c r="D161" s="8">
        <v>7327.76</v>
      </c>
      <c r="E161" s="8">
        <v>5000</v>
      </c>
      <c r="F161" s="66">
        <v>3500</v>
      </c>
    </row>
    <row r="162" spans="1:6" x14ac:dyDescent="0.2">
      <c r="A162" s="18" t="s">
        <v>449</v>
      </c>
      <c r="B162" s="253" t="s">
        <v>1746</v>
      </c>
      <c r="C162" s="63">
        <v>258.29000000000002</v>
      </c>
      <c r="D162" s="12">
        <v>170.08</v>
      </c>
      <c r="E162" s="12">
        <v>10</v>
      </c>
      <c r="F162" s="63">
        <v>50</v>
      </c>
    </row>
    <row r="163" spans="1:6" ht="13.5" thickBot="1" x14ac:dyDescent="0.25">
      <c r="A163" s="18"/>
      <c r="B163" s="6" t="s">
        <v>1099</v>
      </c>
      <c r="C163" s="78">
        <f>SUM(C161:C162)</f>
        <v>6330.03</v>
      </c>
      <c r="D163" s="14">
        <f>SUM(D161:D162)</f>
        <v>7497.84</v>
      </c>
      <c r="E163" s="14">
        <f>SUM(E161:E162)</f>
        <v>5010</v>
      </c>
      <c r="F163" s="78">
        <f>SUM(F161:F162)</f>
        <v>3550</v>
      </c>
    </row>
    <row r="164" spans="1:6" ht="13.5" thickTop="1" x14ac:dyDescent="0.2">
      <c r="A164" s="18"/>
      <c r="C164" s="62"/>
    </row>
    <row r="165" spans="1:6" x14ac:dyDescent="0.2">
      <c r="A165" s="18"/>
      <c r="B165" s="4" t="s">
        <v>844</v>
      </c>
      <c r="C165" s="62"/>
    </row>
    <row r="166" spans="1:6" x14ac:dyDescent="0.2">
      <c r="A166" s="18" t="s">
        <v>230</v>
      </c>
      <c r="B166" s="253" t="s">
        <v>2237</v>
      </c>
      <c r="C166" s="101">
        <v>0</v>
      </c>
      <c r="D166" s="42">
        <v>0</v>
      </c>
      <c r="E166" s="101">
        <v>7775</v>
      </c>
      <c r="F166" s="101">
        <v>7500</v>
      </c>
    </row>
    <row r="167" spans="1:6" ht="13.5" thickBot="1" x14ac:dyDescent="0.25">
      <c r="A167" s="18"/>
      <c r="B167" s="6" t="s">
        <v>1099</v>
      </c>
      <c r="C167" s="71">
        <f>SUM(C166)</f>
        <v>0</v>
      </c>
      <c r="D167" s="17">
        <f>SUM(D166)</f>
        <v>0</v>
      </c>
      <c r="E167" s="17">
        <f>SUM(E166)</f>
        <v>7775</v>
      </c>
      <c r="F167" s="71">
        <f>SUM(F166)</f>
        <v>7500</v>
      </c>
    </row>
    <row r="168" spans="1:6" ht="13.5" thickTop="1" x14ac:dyDescent="0.2">
      <c r="A168" s="18"/>
      <c r="B168" s="6"/>
      <c r="C168" s="72"/>
      <c r="D168" s="15"/>
      <c r="E168" s="15"/>
      <c r="F168" s="72"/>
    </row>
    <row r="169" spans="1:6" x14ac:dyDescent="0.2">
      <c r="A169" s="18"/>
      <c r="B169" s="4" t="s">
        <v>638</v>
      </c>
      <c r="C169" s="62"/>
    </row>
    <row r="170" spans="1:6" x14ac:dyDescent="0.2">
      <c r="A170" s="18"/>
      <c r="B170" s="4" t="s">
        <v>408</v>
      </c>
      <c r="C170" s="62"/>
    </row>
    <row r="171" spans="1:6" x14ac:dyDescent="0.2">
      <c r="A171" s="18"/>
      <c r="B171" s="4" t="s">
        <v>1321</v>
      </c>
      <c r="C171" s="62"/>
    </row>
    <row r="172" spans="1:6" x14ac:dyDescent="0.2">
      <c r="A172" s="18"/>
      <c r="C172" s="7" t="str">
        <f>+$C$4</f>
        <v>2018 ACTUAL</v>
      </c>
      <c r="D172" s="7" t="str">
        <f>+$D$4</f>
        <v>2019 ACTUAL</v>
      </c>
      <c r="E172" s="7" t="str">
        <f>+E$4</f>
        <v>2020 BUDGET</v>
      </c>
      <c r="F172" s="77" t="str">
        <f>+F$4</f>
        <v>2021 BUDGET</v>
      </c>
    </row>
    <row r="173" spans="1:6" x14ac:dyDescent="0.2">
      <c r="A173" s="18"/>
      <c r="C173" s="75"/>
      <c r="D173" s="1"/>
      <c r="E173" s="1"/>
      <c r="F173" s="75"/>
    </row>
    <row r="174" spans="1:6" x14ac:dyDescent="0.2">
      <c r="B174" t="s">
        <v>1322</v>
      </c>
      <c r="C174" s="66">
        <v>65893.5</v>
      </c>
      <c r="D174" s="8">
        <f>C182</f>
        <v>72223.53</v>
      </c>
      <c r="E174" s="8">
        <f>D182</f>
        <v>79721.37</v>
      </c>
      <c r="F174" s="66">
        <f>E182</f>
        <v>76956.37</v>
      </c>
    </row>
    <row r="175" spans="1:6" x14ac:dyDescent="0.2">
      <c r="C175" s="62"/>
    </row>
    <row r="176" spans="1:6" x14ac:dyDescent="0.2">
      <c r="B176" t="s">
        <v>1323</v>
      </c>
      <c r="C176" s="67">
        <f>C163</f>
        <v>6330.03</v>
      </c>
      <c r="D176" s="10">
        <f>D163</f>
        <v>7497.84</v>
      </c>
      <c r="E176" s="10">
        <f>E163</f>
        <v>5010</v>
      </c>
      <c r="F176" s="67">
        <f>F163</f>
        <v>3550</v>
      </c>
    </row>
    <row r="177" spans="1:6" x14ac:dyDescent="0.2">
      <c r="C177" s="67"/>
      <c r="D177" s="10"/>
      <c r="E177" s="10"/>
      <c r="F177" s="67"/>
    </row>
    <row r="178" spans="1:6" x14ac:dyDescent="0.2">
      <c r="B178" t="s">
        <v>1324</v>
      </c>
      <c r="C178" s="67">
        <f>C167</f>
        <v>0</v>
      </c>
      <c r="D178" s="10">
        <f>D167</f>
        <v>0</v>
      </c>
      <c r="E178" s="10">
        <f>E167</f>
        <v>7775</v>
      </c>
      <c r="F178" s="67">
        <f>F167</f>
        <v>7500</v>
      </c>
    </row>
    <row r="179" spans="1:6" x14ac:dyDescent="0.2">
      <c r="C179" s="67"/>
      <c r="D179" s="10"/>
      <c r="E179" s="10"/>
      <c r="F179" s="67"/>
    </row>
    <row r="180" spans="1:6" x14ac:dyDescent="0.2">
      <c r="B180" t="s">
        <v>1325</v>
      </c>
      <c r="C180" s="63">
        <v>0</v>
      </c>
      <c r="D180" s="12">
        <v>0</v>
      </c>
      <c r="E180" s="12">
        <v>0</v>
      </c>
      <c r="F180" s="63">
        <v>0</v>
      </c>
    </row>
    <row r="181" spans="1:6" x14ac:dyDescent="0.2">
      <c r="C181" s="62"/>
    </row>
    <row r="182" spans="1:6" ht="13.5" thickBot="1" x14ac:dyDescent="0.25">
      <c r="B182" t="s">
        <v>1326</v>
      </c>
      <c r="C182" s="71">
        <f>C174+C176-C178+C180</f>
        <v>72223.53</v>
      </c>
      <c r="D182" s="17">
        <f>D174+D176-D178+D180</f>
        <v>79721.37</v>
      </c>
      <c r="E182" s="17">
        <f>E174+E176-E178+E180</f>
        <v>76956.37</v>
      </c>
      <c r="F182" s="71">
        <f>F174+F176-F178+F180</f>
        <v>73006.37</v>
      </c>
    </row>
    <row r="183" spans="1:6" ht="13.5" thickTop="1" x14ac:dyDescent="0.2"/>
    <row r="186" spans="1:6" x14ac:dyDescent="0.2">
      <c r="B186" s="4" t="s">
        <v>638</v>
      </c>
    </row>
    <row r="187" spans="1:6" x14ac:dyDescent="0.2">
      <c r="B187" s="4" t="s">
        <v>306</v>
      </c>
    </row>
    <row r="188" spans="1:6" ht="15" x14ac:dyDescent="0.25">
      <c r="E188" s="241"/>
      <c r="F188" s="293"/>
    </row>
    <row r="189" spans="1:6" x14ac:dyDescent="0.2">
      <c r="C189" s="7" t="str">
        <f>+$C$4</f>
        <v>2018 ACTUAL</v>
      </c>
      <c r="D189" s="7" t="str">
        <f>+$D$4</f>
        <v>2019 ACTUAL</v>
      </c>
      <c r="E189" s="7" t="str">
        <f>+E$4</f>
        <v>2020 BUDGET</v>
      </c>
      <c r="F189" s="77" t="str">
        <f>+F$4</f>
        <v>2021 BUDGET</v>
      </c>
    </row>
    <row r="190" spans="1:6" x14ac:dyDescent="0.2">
      <c r="A190" s="18" t="s">
        <v>1410</v>
      </c>
      <c r="B190" s="4" t="s">
        <v>299</v>
      </c>
    </row>
    <row r="191" spans="1:6" x14ac:dyDescent="0.2">
      <c r="A191" s="18" t="s">
        <v>459</v>
      </c>
      <c r="B191" s="253" t="s">
        <v>2238</v>
      </c>
      <c r="C191" s="66">
        <v>3360.2</v>
      </c>
      <c r="D191" s="8">
        <v>5725</v>
      </c>
      <c r="E191" s="8">
        <v>5000</v>
      </c>
      <c r="F191" s="66">
        <v>3500</v>
      </c>
    </row>
    <row r="192" spans="1:6" x14ac:dyDescent="0.2">
      <c r="A192" s="18" t="s">
        <v>460</v>
      </c>
      <c r="B192" s="253" t="s">
        <v>1746</v>
      </c>
      <c r="C192" s="63">
        <v>132.86000000000001</v>
      </c>
      <c r="D192" s="12">
        <v>87.08</v>
      </c>
      <c r="E192" s="12">
        <v>10</v>
      </c>
      <c r="F192" s="63">
        <v>10</v>
      </c>
    </row>
    <row r="193" spans="1:6" ht="13.5" thickBot="1" x14ac:dyDescent="0.25">
      <c r="A193" s="18"/>
      <c r="B193" s="6" t="s">
        <v>1099</v>
      </c>
      <c r="C193" s="78">
        <f>SUM(C191:C192)</f>
        <v>3493.06</v>
      </c>
      <c r="D193" s="14">
        <f>SUM(D191:D192)</f>
        <v>5812.08</v>
      </c>
      <c r="E193" s="14">
        <f>SUM(E191:E192)</f>
        <v>5010</v>
      </c>
      <c r="F193" s="78">
        <f>SUM(F191:F192)</f>
        <v>3510</v>
      </c>
    </row>
    <row r="194" spans="1:6" ht="13.5" thickTop="1" x14ac:dyDescent="0.2">
      <c r="A194" s="18"/>
      <c r="C194" s="62"/>
    </row>
    <row r="195" spans="1:6" x14ac:dyDescent="0.2">
      <c r="A195" s="18"/>
      <c r="B195" s="4" t="s">
        <v>844</v>
      </c>
      <c r="C195" s="62"/>
    </row>
    <row r="196" spans="1:6" x14ac:dyDescent="0.2">
      <c r="A196" s="18" t="s">
        <v>75</v>
      </c>
      <c r="B196" s="253" t="s">
        <v>2237</v>
      </c>
      <c r="C196" s="101">
        <v>1951.57</v>
      </c>
      <c r="D196" s="42">
        <v>0</v>
      </c>
      <c r="E196" s="42">
        <v>7775</v>
      </c>
      <c r="F196" s="101">
        <v>7775</v>
      </c>
    </row>
    <row r="197" spans="1:6" ht="13.5" thickBot="1" x14ac:dyDescent="0.25">
      <c r="A197" s="18"/>
      <c r="B197" s="6" t="s">
        <v>1099</v>
      </c>
      <c r="C197" s="71">
        <f>SUM(C196)</f>
        <v>1951.57</v>
      </c>
      <c r="D197" s="17">
        <f>SUM(D196)</f>
        <v>0</v>
      </c>
      <c r="E197" s="17">
        <f>SUM(E196)</f>
        <v>7775</v>
      </c>
      <c r="F197" s="71">
        <f>SUM(F196)</f>
        <v>7775</v>
      </c>
    </row>
    <row r="198" spans="1:6" ht="13.5" thickTop="1" x14ac:dyDescent="0.2">
      <c r="C198" s="62"/>
    </row>
    <row r="199" spans="1:6" x14ac:dyDescent="0.2">
      <c r="A199" s="18"/>
      <c r="B199" s="4" t="s">
        <v>638</v>
      </c>
      <c r="C199" s="62"/>
    </row>
    <row r="200" spans="1:6" x14ac:dyDescent="0.2">
      <c r="A200" s="18"/>
      <c r="B200" s="4" t="s">
        <v>306</v>
      </c>
      <c r="C200" s="62"/>
    </row>
    <row r="201" spans="1:6" x14ac:dyDescent="0.2">
      <c r="A201" s="18"/>
      <c r="B201" s="4" t="s">
        <v>1321</v>
      </c>
      <c r="C201" s="62"/>
    </row>
    <row r="202" spans="1:6" x14ac:dyDescent="0.2">
      <c r="A202" s="18"/>
      <c r="C202" s="7" t="str">
        <f>+$C$4</f>
        <v>2018 ACTUAL</v>
      </c>
      <c r="D202" s="7" t="str">
        <f>+$D$4</f>
        <v>2019 ACTUAL</v>
      </c>
      <c r="E202" s="7" t="str">
        <f>+E$4</f>
        <v>2020 BUDGET</v>
      </c>
      <c r="F202" s="77" t="str">
        <f>+F$4</f>
        <v>2021 BUDGET</v>
      </c>
    </row>
    <row r="203" spans="1:6" x14ac:dyDescent="0.2">
      <c r="A203" s="18"/>
      <c r="C203" s="75"/>
      <c r="D203" s="1"/>
      <c r="E203" s="1"/>
      <c r="F203" s="75"/>
    </row>
    <row r="204" spans="1:6" x14ac:dyDescent="0.2">
      <c r="B204" t="s">
        <v>1322</v>
      </c>
      <c r="C204" s="66">
        <v>34023.909999999996</v>
      </c>
      <c r="D204" s="8">
        <f>C212</f>
        <v>35565.399999999994</v>
      </c>
      <c r="E204" s="8">
        <f>D212</f>
        <v>41377.479999999996</v>
      </c>
      <c r="F204" s="66">
        <f>E212</f>
        <v>38612.479999999996</v>
      </c>
    </row>
    <row r="205" spans="1:6" x14ac:dyDescent="0.2">
      <c r="C205" s="62"/>
    </row>
    <row r="206" spans="1:6" x14ac:dyDescent="0.2">
      <c r="B206" t="s">
        <v>1323</v>
      </c>
      <c r="C206" s="67">
        <f>C193</f>
        <v>3493.06</v>
      </c>
      <c r="D206" s="10">
        <f>D193</f>
        <v>5812.08</v>
      </c>
      <c r="E206" s="10">
        <f>E193</f>
        <v>5010</v>
      </c>
      <c r="F206" s="67">
        <f>F193</f>
        <v>3510</v>
      </c>
    </row>
    <row r="207" spans="1:6" x14ac:dyDescent="0.2">
      <c r="C207" s="67"/>
      <c r="D207" s="10"/>
      <c r="E207" s="10"/>
      <c r="F207" s="67"/>
    </row>
    <row r="208" spans="1:6" x14ac:dyDescent="0.2">
      <c r="B208" t="s">
        <v>1324</v>
      </c>
      <c r="C208" s="67">
        <f>C197</f>
        <v>1951.57</v>
      </c>
      <c r="D208" s="10">
        <f>D197</f>
        <v>0</v>
      </c>
      <c r="E208" s="10">
        <f>E197</f>
        <v>7775</v>
      </c>
      <c r="F208" s="67">
        <f>F197</f>
        <v>7775</v>
      </c>
    </row>
    <row r="209" spans="2:6" x14ac:dyDescent="0.2">
      <c r="C209" s="67"/>
      <c r="D209" s="10"/>
      <c r="E209" s="10"/>
      <c r="F209" s="67"/>
    </row>
    <row r="210" spans="2:6" x14ac:dyDescent="0.2">
      <c r="B210" t="s">
        <v>1325</v>
      </c>
      <c r="C210" s="63">
        <v>0</v>
      </c>
      <c r="D210" s="12">
        <v>0</v>
      </c>
      <c r="E210" s="12">
        <v>0</v>
      </c>
      <c r="F210" s="63">
        <v>0</v>
      </c>
    </row>
    <row r="211" spans="2:6" x14ac:dyDescent="0.2">
      <c r="C211" s="62"/>
    </row>
    <row r="212" spans="2:6" ht="13.5" thickBot="1" x14ac:dyDescent="0.25">
      <c r="B212" t="s">
        <v>1326</v>
      </c>
      <c r="C212" s="71">
        <f>C204+C206-C208+C210</f>
        <v>35565.399999999994</v>
      </c>
      <c r="D212" s="17">
        <f>D204+D206-D208+D210</f>
        <v>41377.479999999996</v>
      </c>
      <c r="E212" s="17">
        <f>E204+E206-E208+E210</f>
        <v>38612.479999999996</v>
      </c>
      <c r="F212" s="71">
        <f>F204+F206-F208+F210</f>
        <v>34347.479999999996</v>
      </c>
    </row>
    <row r="213" spans="2:6" ht="13.5" thickTop="1" x14ac:dyDescent="0.2"/>
    <row r="214" spans="2:6" x14ac:dyDescent="0.2">
      <c r="C214" s="10"/>
    </row>
  </sheetData>
  <phoneticPr fontId="2" type="noConversion"/>
  <pageMargins left="0.5" right="0.5" top="1" bottom="1" header="0.5" footer="0.5"/>
  <pageSetup scale="85" firstPageNumber="46" orientation="portrait" useFirstPageNumber="1" r:id="rId1"/>
  <headerFooter alignWithMargins="0">
    <oddFooter>&amp;C&amp;P</oddFooter>
  </headerFooter>
  <rowBreaks count="6" manualBreakCount="6">
    <brk id="31" max="16383" man="1"/>
    <brk id="62" max="16383" man="1"/>
    <brk id="93" max="16383" man="1"/>
    <brk id="124" max="16383" man="1"/>
    <brk id="155" max="16383" man="1"/>
    <brk id="18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L45"/>
  <sheetViews>
    <sheetView zoomScaleNormal="100" workbookViewId="0"/>
  </sheetViews>
  <sheetFormatPr defaultRowHeight="12.75" x14ac:dyDescent="0.2"/>
  <cols>
    <col min="1" max="1" width="14.85546875" bestFit="1" customWidth="1"/>
    <col min="2" max="2" width="38.5703125" customWidth="1"/>
    <col min="3" max="3" width="13.140625" bestFit="1" customWidth="1"/>
    <col min="4" max="4" width="13.28515625" style="62" customWidth="1"/>
    <col min="5" max="6" width="13.28515625" style="62" bestFit="1" customWidth="1"/>
  </cols>
  <sheetData>
    <row r="1" spans="1:6" x14ac:dyDescent="0.2">
      <c r="A1" s="18" t="s">
        <v>1410</v>
      </c>
      <c r="B1" s="4" t="s">
        <v>638</v>
      </c>
      <c r="C1" s="1" t="s">
        <v>1410</v>
      </c>
      <c r="D1" s="75" t="s">
        <v>1410</v>
      </c>
      <c r="E1" s="75" t="s">
        <v>1410</v>
      </c>
      <c r="F1" s="75" t="s">
        <v>1410</v>
      </c>
    </row>
    <row r="2" spans="1:6" x14ac:dyDescent="0.2">
      <c r="A2" s="18"/>
      <c r="B2" s="4" t="s">
        <v>270</v>
      </c>
      <c r="C2" s="1" t="s">
        <v>1529</v>
      </c>
      <c r="D2" s="75" t="s">
        <v>1529</v>
      </c>
      <c r="E2" s="75" t="s">
        <v>1529</v>
      </c>
      <c r="F2" s="75" t="s">
        <v>1529</v>
      </c>
    </row>
    <row r="3" spans="1:6" x14ac:dyDescent="0.2">
      <c r="A3" s="18"/>
      <c r="B3" s="4" t="s">
        <v>1410</v>
      </c>
      <c r="C3" s="1" t="s">
        <v>1410</v>
      </c>
      <c r="D3" s="75" t="s">
        <v>1410</v>
      </c>
      <c r="E3" s="75" t="s">
        <v>1410</v>
      </c>
      <c r="F3" s="75" t="s">
        <v>1410</v>
      </c>
    </row>
    <row r="4" spans="1:6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6" x14ac:dyDescent="0.2">
      <c r="A5" s="18" t="s">
        <v>1410</v>
      </c>
      <c r="B5" s="4" t="s">
        <v>299</v>
      </c>
      <c r="C5" s="62"/>
    </row>
    <row r="6" spans="1:6" x14ac:dyDescent="0.2">
      <c r="A6" s="18" t="s">
        <v>440</v>
      </c>
      <c r="B6" s="253" t="s">
        <v>645</v>
      </c>
      <c r="C6" s="66">
        <v>16219.72</v>
      </c>
      <c r="D6" s="66">
        <v>17530</v>
      </c>
      <c r="E6" s="66">
        <v>15000</v>
      </c>
      <c r="F6" s="66">
        <v>10000</v>
      </c>
    </row>
    <row r="7" spans="1:6" x14ac:dyDescent="0.2">
      <c r="A7" s="18" t="s">
        <v>441</v>
      </c>
      <c r="B7" s="253" t="s">
        <v>2239</v>
      </c>
      <c r="C7" s="67">
        <v>21427.56</v>
      </c>
      <c r="D7" s="67">
        <v>18841.22</v>
      </c>
      <c r="E7" s="67">
        <v>18000</v>
      </c>
      <c r="F7" s="67">
        <v>10000</v>
      </c>
    </row>
    <row r="8" spans="1:6" x14ac:dyDescent="0.2">
      <c r="A8" s="18" t="s">
        <v>442</v>
      </c>
      <c r="B8" s="253" t="s">
        <v>648</v>
      </c>
      <c r="C8" s="67">
        <v>5523.88</v>
      </c>
      <c r="D8" s="67">
        <v>5479.8</v>
      </c>
      <c r="E8" s="67">
        <v>5000</v>
      </c>
      <c r="F8" s="67">
        <v>5000</v>
      </c>
    </row>
    <row r="9" spans="1:6" x14ac:dyDescent="0.2">
      <c r="A9" s="18" t="s">
        <v>443</v>
      </c>
      <c r="B9" s="253" t="s">
        <v>2240</v>
      </c>
      <c r="C9" s="67">
        <v>0</v>
      </c>
      <c r="D9" s="67">
        <v>0</v>
      </c>
      <c r="E9" s="67">
        <v>0</v>
      </c>
      <c r="F9" s="67">
        <v>0</v>
      </c>
    </row>
    <row r="10" spans="1:6" x14ac:dyDescent="0.2">
      <c r="A10" s="18" t="s">
        <v>444</v>
      </c>
      <c r="B10" s="253" t="s">
        <v>1746</v>
      </c>
      <c r="C10" s="68">
        <v>3.95</v>
      </c>
      <c r="D10" s="68">
        <v>0</v>
      </c>
      <c r="E10" s="68">
        <v>100</v>
      </c>
      <c r="F10" s="68">
        <v>100</v>
      </c>
    </row>
    <row r="11" spans="1:6" x14ac:dyDescent="0.2">
      <c r="A11" s="18"/>
      <c r="B11" s="6" t="s">
        <v>1099</v>
      </c>
      <c r="C11" s="89">
        <f>SUM(C6:C10)</f>
        <v>43175.109999999993</v>
      </c>
      <c r="D11" s="89">
        <f>SUM(D6:D10)</f>
        <v>41851.020000000004</v>
      </c>
      <c r="E11" s="89">
        <f>SUM(E6:E10)</f>
        <v>38100</v>
      </c>
      <c r="F11" s="89">
        <f>SUM(F6:F10)</f>
        <v>25100</v>
      </c>
    </row>
    <row r="12" spans="1:6" x14ac:dyDescent="0.2">
      <c r="A12" s="37">
        <v>550.4</v>
      </c>
      <c r="B12" s="4" t="s">
        <v>1829</v>
      </c>
      <c r="C12" s="72"/>
      <c r="D12" s="54"/>
      <c r="E12" s="72"/>
      <c r="F12" s="72"/>
    </row>
    <row r="13" spans="1:6" x14ac:dyDescent="0.2">
      <c r="A13" s="37" t="s">
        <v>2244</v>
      </c>
      <c r="B13" s="253" t="s">
        <v>1886</v>
      </c>
      <c r="C13" s="82">
        <v>0</v>
      </c>
      <c r="D13" s="82">
        <v>60000</v>
      </c>
      <c r="E13" s="63">
        <v>60000</v>
      </c>
      <c r="F13" s="82">
        <v>70000</v>
      </c>
    </row>
    <row r="14" spans="1:6" x14ac:dyDescent="0.2">
      <c r="A14" s="37"/>
      <c r="B14" s="6" t="s">
        <v>1099</v>
      </c>
      <c r="C14" s="263">
        <f t="shared" ref="C14:F14" si="0">+C13</f>
        <v>0</v>
      </c>
      <c r="D14" s="263">
        <f t="shared" si="0"/>
        <v>60000</v>
      </c>
      <c r="E14" s="263">
        <f t="shared" si="0"/>
        <v>60000</v>
      </c>
      <c r="F14" s="263">
        <f t="shared" si="0"/>
        <v>70000</v>
      </c>
    </row>
    <row r="15" spans="1:6" x14ac:dyDescent="0.2">
      <c r="B15" s="6"/>
      <c r="C15" s="72"/>
      <c r="D15" s="54"/>
      <c r="E15" s="72"/>
      <c r="F15" s="72"/>
    </row>
    <row r="16" spans="1:6" ht="13.5" thickBot="1" x14ac:dyDescent="0.25">
      <c r="A16" s="18"/>
      <c r="B16" s="6" t="s">
        <v>129</v>
      </c>
      <c r="C16" s="78">
        <f t="shared" ref="C16:F16" si="1">+C14+C11</f>
        <v>43175.109999999993</v>
      </c>
      <c r="D16" s="78">
        <f t="shared" si="1"/>
        <v>101851.02</v>
      </c>
      <c r="E16" s="78">
        <f t="shared" si="1"/>
        <v>98100</v>
      </c>
      <c r="F16" s="78">
        <f t="shared" si="1"/>
        <v>95100</v>
      </c>
    </row>
    <row r="17" spans="1:12" ht="13.5" thickTop="1" x14ac:dyDescent="0.2">
      <c r="A17" s="18" t="s">
        <v>1410</v>
      </c>
      <c r="C17" s="62"/>
    </row>
    <row r="18" spans="1:12" x14ac:dyDescent="0.2">
      <c r="A18" s="18"/>
      <c r="B18" s="4" t="s">
        <v>844</v>
      </c>
      <c r="C18" s="62"/>
    </row>
    <row r="19" spans="1:12" x14ac:dyDescent="0.2">
      <c r="A19" s="18" t="s">
        <v>271</v>
      </c>
      <c r="B19" s="254" t="s">
        <v>2241</v>
      </c>
      <c r="C19" s="66">
        <v>58559.28</v>
      </c>
      <c r="D19" s="66">
        <v>60159.32</v>
      </c>
      <c r="E19" s="66">
        <f>32191+30872</f>
        <v>63063</v>
      </c>
      <c r="F19" s="66">
        <v>64827</v>
      </c>
    </row>
    <row r="20" spans="1:12" x14ac:dyDescent="0.2">
      <c r="A20" s="18" t="s">
        <v>1356</v>
      </c>
      <c r="B20" s="253" t="s">
        <v>1989</v>
      </c>
      <c r="C20" s="67">
        <v>141.38999999999999</v>
      </c>
      <c r="D20" s="81">
        <v>0</v>
      </c>
      <c r="E20" s="67">
        <v>0</v>
      </c>
      <c r="F20" s="67">
        <v>0</v>
      </c>
    </row>
    <row r="21" spans="1:12" ht="12.75" customHeight="1" x14ac:dyDescent="0.2">
      <c r="A21" s="18" t="s">
        <v>272</v>
      </c>
      <c r="B21" s="254" t="s">
        <v>2242</v>
      </c>
      <c r="C21" s="67">
        <v>0</v>
      </c>
      <c r="D21" s="67">
        <v>116.32</v>
      </c>
      <c r="E21" s="67">
        <v>0</v>
      </c>
      <c r="F21" s="67">
        <v>0</v>
      </c>
    </row>
    <row r="22" spans="1:12" x14ac:dyDescent="0.2">
      <c r="A22" s="18" t="s">
        <v>273</v>
      </c>
      <c r="B22" s="254" t="s">
        <v>1893</v>
      </c>
      <c r="C22" s="67">
        <v>357.79</v>
      </c>
      <c r="D22" s="67">
        <v>821.35</v>
      </c>
      <c r="E22" s="67">
        <v>960</v>
      </c>
      <c r="F22" s="67">
        <v>960</v>
      </c>
    </row>
    <row r="23" spans="1:12" x14ac:dyDescent="0.2">
      <c r="A23" s="18" t="s">
        <v>274</v>
      </c>
      <c r="B23" s="254" t="s">
        <v>1895</v>
      </c>
      <c r="C23" s="67">
        <v>3728.78</v>
      </c>
      <c r="D23" s="67">
        <v>3823.4</v>
      </c>
      <c r="E23" s="67">
        <v>4898</v>
      </c>
      <c r="F23" s="67">
        <v>5033</v>
      </c>
    </row>
    <row r="24" spans="1:12" x14ac:dyDescent="0.2">
      <c r="A24" s="18" t="s">
        <v>275</v>
      </c>
      <c r="B24" s="254" t="s">
        <v>1896</v>
      </c>
      <c r="C24" s="67">
        <v>6916.57</v>
      </c>
      <c r="D24" s="67">
        <v>7250.4</v>
      </c>
      <c r="E24" s="67">
        <v>7875</v>
      </c>
      <c r="F24" s="67">
        <v>8184</v>
      </c>
    </row>
    <row r="25" spans="1:12" x14ac:dyDescent="0.2">
      <c r="A25" s="18" t="s">
        <v>276</v>
      </c>
      <c r="B25" s="254" t="s">
        <v>1897</v>
      </c>
      <c r="C25" s="67">
        <v>13881.83</v>
      </c>
      <c r="D25" s="67">
        <v>15356.31</v>
      </c>
      <c r="E25" s="67">
        <f>15600+156</f>
        <v>15756</v>
      </c>
      <c r="F25" s="67">
        <f>7800+156</f>
        <v>7956</v>
      </c>
    </row>
    <row r="26" spans="1:12" x14ac:dyDescent="0.2">
      <c r="A26" s="18" t="s">
        <v>196</v>
      </c>
      <c r="B26" s="254" t="s">
        <v>1996</v>
      </c>
      <c r="C26" s="67">
        <v>0</v>
      </c>
      <c r="D26" s="67">
        <v>0</v>
      </c>
      <c r="E26" s="67">
        <v>0</v>
      </c>
      <c r="F26" s="67">
        <v>0</v>
      </c>
    </row>
    <row r="27" spans="1:12" x14ac:dyDescent="0.2">
      <c r="A27" s="18" t="s">
        <v>1510</v>
      </c>
      <c r="B27" s="253" t="s">
        <v>2243</v>
      </c>
      <c r="C27" s="68">
        <v>0</v>
      </c>
      <c r="D27" s="68">
        <v>5218.53</v>
      </c>
      <c r="E27" s="68">
        <v>0</v>
      </c>
      <c r="F27" s="68">
        <v>0</v>
      </c>
      <c r="G27" s="62"/>
      <c r="H27" s="62"/>
      <c r="I27" s="62"/>
      <c r="J27" s="62"/>
      <c r="K27" s="62"/>
      <c r="L27" s="62"/>
    </row>
    <row r="28" spans="1:12" ht="13.5" thickBot="1" x14ac:dyDescent="0.25">
      <c r="A28" s="18"/>
      <c r="B28" s="6" t="s">
        <v>1319</v>
      </c>
      <c r="C28" s="71">
        <f>SUM(C19:C27)</f>
        <v>83585.64</v>
      </c>
      <c r="D28" s="71">
        <f>SUM(D19:D27)</f>
        <v>92745.62999999999</v>
      </c>
      <c r="E28" s="71">
        <f>SUM(E19:E27)</f>
        <v>92552</v>
      </c>
      <c r="F28" s="71">
        <f>SUM(F19:F27)</f>
        <v>86960</v>
      </c>
      <c r="G28" s="62"/>
      <c r="H28" s="62"/>
      <c r="I28" s="62"/>
      <c r="J28" s="62"/>
      <c r="K28" s="62"/>
      <c r="L28" s="62"/>
    </row>
    <row r="29" spans="1:12" ht="13.5" thickTop="1" x14ac:dyDescent="0.2">
      <c r="A29" s="18"/>
      <c r="B29" s="6"/>
      <c r="C29" s="72"/>
      <c r="D29" s="72"/>
      <c r="E29" s="72"/>
      <c r="F29" s="72"/>
      <c r="G29" s="62"/>
      <c r="H29" s="62"/>
      <c r="I29" s="62"/>
      <c r="J29" s="62"/>
      <c r="K29" s="62"/>
      <c r="L29" s="62"/>
    </row>
    <row r="30" spans="1:12" x14ac:dyDescent="0.2">
      <c r="A30" s="18" t="s">
        <v>1410</v>
      </c>
      <c r="B30" s="4" t="s">
        <v>638</v>
      </c>
      <c r="C30" s="72"/>
      <c r="D30" s="72"/>
      <c r="E30" s="72"/>
      <c r="F30" s="72"/>
      <c r="G30" s="62"/>
      <c r="H30" s="62"/>
      <c r="I30" s="62"/>
      <c r="J30" s="62"/>
      <c r="K30" s="62"/>
      <c r="L30" s="62"/>
    </row>
    <row r="31" spans="1:12" x14ac:dyDescent="0.2">
      <c r="A31" s="18"/>
      <c r="B31" s="4" t="s">
        <v>903</v>
      </c>
      <c r="C31" s="72"/>
      <c r="D31" s="72"/>
      <c r="E31" s="72"/>
      <c r="F31" s="72"/>
      <c r="G31" s="62"/>
      <c r="H31" s="62"/>
      <c r="I31" s="62"/>
      <c r="J31" s="62"/>
      <c r="K31" s="62"/>
      <c r="L31" s="62"/>
    </row>
    <row r="32" spans="1:12" x14ac:dyDescent="0.2">
      <c r="A32" s="18" t="s">
        <v>1410</v>
      </c>
      <c r="B32" s="31" t="s">
        <v>1321</v>
      </c>
      <c r="C32" s="72"/>
      <c r="D32" s="72"/>
      <c r="E32" s="72"/>
      <c r="F32" s="72"/>
      <c r="G32" s="62"/>
      <c r="H32" s="62"/>
      <c r="I32" s="62"/>
      <c r="J32" s="62"/>
      <c r="K32" s="62"/>
      <c r="L32" s="62"/>
    </row>
    <row r="33" spans="1:12" x14ac:dyDescent="0.2">
      <c r="A33" s="18"/>
      <c r="C33" s="77" t="str">
        <f>+C4</f>
        <v>2018 ACTUAL</v>
      </c>
      <c r="D33" s="77" t="str">
        <f>+D4</f>
        <v>2019 ACTUAL</v>
      </c>
      <c r="E33" s="77" t="str">
        <f>+E4</f>
        <v>2020 BUDGET</v>
      </c>
      <c r="F33" s="77" t="str">
        <f>+F4</f>
        <v>2021 BUDGET</v>
      </c>
      <c r="G33" s="62"/>
      <c r="H33" s="62"/>
      <c r="I33" s="62"/>
      <c r="J33" s="62"/>
      <c r="K33" s="62"/>
      <c r="L33" s="62"/>
    </row>
    <row r="34" spans="1:12" x14ac:dyDescent="0.2">
      <c r="A34" s="18"/>
      <c r="C34" s="75"/>
      <c r="D34" s="75"/>
      <c r="E34" s="75"/>
      <c r="F34" s="75"/>
      <c r="G34" s="62"/>
      <c r="H34" s="62"/>
      <c r="I34" s="62"/>
      <c r="J34" s="62"/>
      <c r="K34" s="62"/>
      <c r="L34" s="62"/>
    </row>
    <row r="35" spans="1:12" x14ac:dyDescent="0.2">
      <c r="A35" s="18"/>
      <c r="B35" t="s">
        <v>1322</v>
      </c>
      <c r="C35" s="66">
        <v>2.1900000000168802</v>
      </c>
      <c r="D35" s="66">
        <f>C43</f>
        <v>9591.6600000000108</v>
      </c>
      <c r="E35" s="66">
        <f>D43</f>
        <v>18697.050000000032</v>
      </c>
      <c r="F35" s="66">
        <f>E43</f>
        <v>24245.050000000032</v>
      </c>
      <c r="G35" s="62"/>
      <c r="H35" s="62"/>
      <c r="I35" s="62"/>
      <c r="J35" s="62"/>
      <c r="K35" s="62"/>
      <c r="L35" s="62"/>
    </row>
    <row r="36" spans="1:12" x14ac:dyDescent="0.2">
      <c r="A36" s="18"/>
      <c r="C36" s="67"/>
      <c r="D36" s="67"/>
      <c r="E36" s="67"/>
      <c r="F36" s="67"/>
      <c r="G36" s="62"/>
      <c r="H36" s="62"/>
      <c r="I36" s="62"/>
      <c r="J36" s="62"/>
      <c r="K36" s="62"/>
      <c r="L36" s="62"/>
    </row>
    <row r="37" spans="1:12" x14ac:dyDescent="0.2">
      <c r="A37" s="18"/>
      <c r="B37" t="s">
        <v>106</v>
      </c>
      <c r="C37" s="67">
        <f>C16</f>
        <v>43175.109999999993</v>
      </c>
      <c r="D37" s="67">
        <f>D16</f>
        <v>101851.02</v>
      </c>
      <c r="E37" s="67">
        <f>E16</f>
        <v>98100</v>
      </c>
      <c r="F37" s="67">
        <f>F16</f>
        <v>95100</v>
      </c>
      <c r="G37" s="62"/>
      <c r="H37" s="62"/>
      <c r="I37" s="62"/>
      <c r="J37" s="62"/>
      <c r="K37" s="62"/>
      <c r="L37" s="62"/>
    </row>
    <row r="38" spans="1:12" x14ac:dyDescent="0.2">
      <c r="A38" s="18"/>
      <c r="C38" s="67"/>
      <c r="D38" s="67"/>
      <c r="E38" s="67"/>
      <c r="F38" s="67"/>
      <c r="G38" s="62"/>
      <c r="H38" s="62"/>
      <c r="I38" s="62"/>
      <c r="J38" s="62"/>
      <c r="K38" s="62"/>
      <c r="L38" s="62"/>
    </row>
    <row r="39" spans="1:12" x14ac:dyDescent="0.2">
      <c r="A39" s="18"/>
      <c r="B39" t="s">
        <v>1404</v>
      </c>
      <c r="C39" s="60">
        <f>C28</f>
        <v>83585.64</v>
      </c>
      <c r="D39" s="60">
        <f>D28</f>
        <v>92745.62999999999</v>
      </c>
      <c r="E39" s="60">
        <f>E28</f>
        <v>92552</v>
      </c>
      <c r="F39" s="60">
        <f>F28</f>
        <v>86960</v>
      </c>
      <c r="G39" s="62"/>
      <c r="H39" s="62"/>
      <c r="I39" s="62"/>
      <c r="J39" s="62"/>
      <c r="K39" s="62"/>
      <c r="L39" s="62"/>
    </row>
    <row r="40" spans="1:12" x14ac:dyDescent="0.2">
      <c r="A40" s="18"/>
      <c r="C40" s="67"/>
      <c r="D40" s="67"/>
      <c r="E40" s="67"/>
      <c r="F40" s="67"/>
      <c r="G40" s="62"/>
      <c r="H40" s="62"/>
      <c r="I40" s="62"/>
      <c r="J40" s="62"/>
      <c r="K40" s="62"/>
      <c r="L40" s="62"/>
    </row>
    <row r="41" spans="1:12" x14ac:dyDescent="0.2">
      <c r="A41" s="18"/>
      <c r="B41" t="s">
        <v>1121</v>
      </c>
      <c r="C41" s="63">
        <v>50000</v>
      </c>
      <c r="D41" s="63">
        <v>0</v>
      </c>
      <c r="E41" s="63">
        <v>0</v>
      </c>
      <c r="F41" s="63">
        <v>0</v>
      </c>
      <c r="G41" s="62"/>
      <c r="H41" s="62"/>
      <c r="I41" s="62"/>
      <c r="J41" s="62"/>
      <c r="K41" s="62"/>
      <c r="L41" s="62"/>
    </row>
    <row r="42" spans="1:12" x14ac:dyDescent="0.2">
      <c r="A42" s="18"/>
      <c r="C42" s="62"/>
      <c r="G42" s="62"/>
      <c r="H42" s="62"/>
      <c r="I42" s="62"/>
      <c r="J42" s="62"/>
      <c r="K42" s="62"/>
      <c r="L42" s="62"/>
    </row>
    <row r="43" spans="1:12" ht="13.5" thickBot="1" x14ac:dyDescent="0.25">
      <c r="A43" s="18"/>
      <c r="B43" t="s">
        <v>1326</v>
      </c>
      <c r="C43" s="71">
        <f>C35+C37-C39+C41</f>
        <v>9591.6600000000108</v>
      </c>
      <c r="D43" s="71">
        <f>D35+D37-D39+D41</f>
        <v>18697.050000000032</v>
      </c>
      <c r="E43" s="71">
        <f>E35+E37-E39+E41</f>
        <v>24245.050000000032</v>
      </c>
      <c r="F43" s="71">
        <f>F35+F37-F39+F41</f>
        <v>32385.050000000032</v>
      </c>
    </row>
    <row r="44" spans="1:12" ht="13.5" thickTop="1" x14ac:dyDescent="0.2"/>
    <row r="45" spans="1:12" x14ac:dyDescent="0.2">
      <c r="C45" s="240"/>
      <c r="D45" s="271"/>
    </row>
  </sheetData>
  <phoneticPr fontId="2" type="noConversion"/>
  <pageMargins left="0.25" right="0.75" top="1" bottom="1" header="0.5" footer="0.5"/>
  <pageSetup scale="85" firstPageNumber="53" orientation="portrait" useFirstPageNumber="1" r:id="rId1"/>
  <headerFooter alignWithMargins="0"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F124"/>
  <sheetViews>
    <sheetView zoomScaleNormal="100" workbookViewId="0"/>
  </sheetViews>
  <sheetFormatPr defaultRowHeight="12.75" x14ac:dyDescent="0.2"/>
  <cols>
    <col min="1" max="1" width="14.85546875" bestFit="1" customWidth="1"/>
    <col min="2" max="2" width="39.7109375" customWidth="1"/>
    <col min="3" max="3" width="13.140625" bestFit="1" customWidth="1"/>
    <col min="4" max="6" width="13.28515625" bestFit="1" customWidth="1"/>
  </cols>
  <sheetData>
    <row r="1" spans="1:6" x14ac:dyDescent="0.2">
      <c r="A1" s="18" t="s">
        <v>1410</v>
      </c>
      <c r="B1" s="4" t="s">
        <v>638</v>
      </c>
      <c r="C1" s="1" t="s">
        <v>1410</v>
      </c>
      <c r="D1" s="1" t="s">
        <v>1410</v>
      </c>
      <c r="E1" s="1" t="s">
        <v>1410</v>
      </c>
      <c r="F1" s="1" t="s">
        <v>1410</v>
      </c>
    </row>
    <row r="2" spans="1:6" x14ac:dyDescent="0.2">
      <c r="A2" s="18"/>
      <c r="B2" s="4" t="s">
        <v>1194</v>
      </c>
      <c r="C2" s="1" t="s">
        <v>1529</v>
      </c>
      <c r="D2" s="1" t="s">
        <v>1529</v>
      </c>
      <c r="E2" s="1" t="s">
        <v>1529</v>
      </c>
      <c r="F2" s="1" t="s">
        <v>1529</v>
      </c>
    </row>
    <row r="3" spans="1:6" x14ac:dyDescent="0.2">
      <c r="A3" s="18"/>
      <c r="B3" s="4" t="s">
        <v>1410</v>
      </c>
      <c r="C3" s="1" t="s">
        <v>1410</v>
      </c>
      <c r="D3" s="1" t="s">
        <v>1410</v>
      </c>
      <c r="E3" s="1" t="s">
        <v>1410</v>
      </c>
      <c r="F3" s="1" t="s">
        <v>1410</v>
      </c>
    </row>
    <row r="4" spans="1:6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6" x14ac:dyDescent="0.2">
      <c r="A5" s="18" t="s">
        <v>1410</v>
      </c>
      <c r="B5" s="4" t="s">
        <v>299</v>
      </c>
    </row>
    <row r="6" spans="1:6" x14ac:dyDescent="0.2">
      <c r="A6" s="18" t="s">
        <v>445</v>
      </c>
      <c r="B6" s="253" t="s">
        <v>2245</v>
      </c>
      <c r="C6" s="66">
        <v>6754.95</v>
      </c>
      <c r="D6" s="8">
        <v>5910.12</v>
      </c>
      <c r="E6" s="8">
        <v>5500</v>
      </c>
      <c r="F6" s="8">
        <v>3500</v>
      </c>
    </row>
    <row r="7" spans="1:6" x14ac:dyDescent="0.2">
      <c r="A7" s="18" t="s">
        <v>446</v>
      </c>
      <c r="B7" s="253" t="s">
        <v>1746</v>
      </c>
      <c r="C7" s="68">
        <v>279.14999999999998</v>
      </c>
      <c r="D7" s="29">
        <v>182.52</v>
      </c>
      <c r="E7" s="29">
        <v>30</v>
      </c>
      <c r="F7" s="29">
        <v>30</v>
      </c>
    </row>
    <row r="8" spans="1:6" ht="13.5" thickBot="1" x14ac:dyDescent="0.25">
      <c r="A8" s="18"/>
      <c r="B8" s="6" t="s">
        <v>129</v>
      </c>
      <c r="C8" s="78">
        <f>SUM(C6:C7)</f>
        <v>7034.0999999999995</v>
      </c>
      <c r="D8" s="14">
        <f>SUM(D6:D7)</f>
        <v>6092.64</v>
      </c>
      <c r="E8" s="14">
        <f>SUM(E6:E7)</f>
        <v>5530</v>
      </c>
      <c r="F8" s="14">
        <f>SUM(F6:F7)</f>
        <v>3530</v>
      </c>
    </row>
    <row r="9" spans="1:6" ht="13.5" thickTop="1" x14ac:dyDescent="0.2">
      <c r="A9" s="18"/>
      <c r="C9" s="62"/>
    </row>
    <row r="10" spans="1:6" x14ac:dyDescent="0.2">
      <c r="A10" s="18"/>
      <c r="B10" s="4" t="s">
        <v>844</v>
      </c>
      <c r="C10" s="62"/>
    </row>
    <row r="11" spans="1:6" x14ac:dyDescent="0.2">
      <c r="A11" s="18" t="s">
        <v>48</v>
      </c>
      <c r="B11" s="254" t="s">
        <v>1963</v>
      </c>
      <c r="C11" s="94">
        <v>0</v>
      </c>
      <c r="D11" s="43">
        <v>0</v>
      </c>
      <c r="E11" s="43">
        <v>0</v>
      </c>
      <c r="F11" s="43">
        <v>0</v>
      </c>
    </row>
    <row r="12" spans="1:6" x14ac:dyDescent="0.2">
      <c r="A12" s="18" t="s">
        <v>49</v>
      </c>
      <c r="B12" s="254" t="s">
        <v>1895</v>
      </c>
      <c r="C12" s="67">
        <v>0</v>
      </c>
      <c r="D12" s="10">
        <v>0</v>
      </c>
      <c r="E12" s="10">
        <v>0</v>
      </c>
      <c r="F12" s="10">
        <v>0</v>
      </c>
    </row>
    <row r="13" spans="1:6" x14ac:dyDescent="0.2">
      <c r="A13" s="18" t="s">
        <v>50</v>
      </c>
      <c r="B13" s="254" t="s">
        <v>1896</v>
      </c>
      <c r="C13" s="67">
        <v>0</v>
      </c>
      <c r="D13" s="10">
        <v>0</v>
      </c>
      <c r="E13" s="10">
        <v>0</v>
      </c>
      <c r="F13" s="10">
        <v>0</v>
      </c>
    </row>
    <row r="14" spans="1:6" x14ac:dyDescent="0.2">
      <c r="A14" s="18" t="s">
        <v>904</v>
      </c>
      <c r="B14" s="253" t="s">
        <v>2243</v>
      </c>
      <c r="C14" s="96">
        <v>0</v>
      </c>
      <c r="D14" s="41">
        <v>0</v>
      </c>
      <c r="E14" s="41">
        <v>5000</v>
      </c>
      <c r="F14" s="41">
        <v>5000</v>
      </c>
    </row>
    <row r="15" spans="1:6" x14ac:dyDescent="0.2">
      <c r="A15" s="18" t="s">
        <v>81</v>
      </c>
      <c r="B15" s="253" t="s">
        <v>1882</v>
      </c>
      <c r="C15" s="137">
        <v>0</v>
      </c>
      <c r="D15" s="138">
        <v>0</v>
      </c>
      <c r="E15" s="138">
        <v>20000</v>
      </c>
      <c r="F15" s="138">
        <v>20000</v>
      </c>
    </row>
    <row r="16" spans="1:6" ht="13.5" thickBot="1" x14ac:dyDescent="0.25">
      <c r="A16" s="18"/>
      <c r="B16" s="6" t="s">
        <v>1319</v>
      </c>
      <c r="C16" s="71">
        <f>SUM(C11:C15)</f>
        <v>0</v>
      </c>
      <c r="D16" s="71">
        <f>SUM(D11:D15)</f>
        <v>0</v>
      </c>
      <c r="E16" s="71">
        <f>SUM(E11:E15)</f>
        <v>25000</v>
      </c>
      <c r="F16" s="71">
        <f>SUM(F11:F15)</f>
        <v>25000</v>
      </c>
    </row>
    <row r="17" spans="1:6" ht="13.5" thickTop="1" x14ac:dyDescent="0.2">
      <c r="A17" s="18"/>
      <c r="B17" s="6"/>
      <c r="C17" s="72"/>
      <c r="D17" s="15"/>
      <c r="E17" s="15"/>
      <c r="F17" s="15"/>
    </row>
    <row r="18" spans="1:6" x14ac:dyDescent="0.2">
      <c r="A18" s="18"/>
      <c r="B18" s="4" t="s">
        <v>638</v>
      </c>
      <c r="C18" s="72"/>
      <c r="D18" s="15"/>
      <c r="E18" s="15"/>
      <c r="F18" s="15"/>
    </row>
    <row r="19" spans="1:6" x14ac:dyDescent="0.2">
      <c r="A19" s="18"/>
      <c r="B19" s="4" t="s">
        <v>1195</v>
      </c>
      <c r="C19" s="72"/>
      <c r="D19" s="15"/>
      <c r="E19" s="15"/>
      <c r="F19" s="15"/>
    </row>
    <row r="20" spans="1:6" x14ac:dyDescent="0.2">
      <c r="A20" s="18"/>
      <c r="B20" s="31" t="s">
        <v>1321</v>
      </c>
      <c r="C20" s="72"/>
      <c r="D20" s="15"/>
      <c r="E20" s="15"/>
      <c r="F20" s="15"/>
    </row>
    <row r="21" spans="1:6" x14ac:dyDescent="0.2">
      <c r="A21" s="18" t="s">
        <v>1410</v>
      </c>
      <c r="C21" s="77" t="str">
        <f>+C4</f>
        <v>2018 ACTUAL</v>
      </c>
      <c r="D21" s="77" t="str">
        <f>+D4</f>
        <v>2019 ACTUAL</v>
      </c>
      <c r="E21" s="77" t="str">
        <f>+E4</f>
        <v>2020 BUDGET</v>
      </c>
      <c r="F21" s="77" t="str">
        <f>+F4</f>
        <v>2021 BUDGET</v>
      </c>
    </row>
    <row r="22" spans="1:6" x14ac:dyDescent="0.2">
      <c r="A22" s="18"/>
      <c r="C22" s="75"/>
      <c r="D22" s="1"/>
      <c r="E22" s="1"/>
      <c r="F22" s="1"/>
    </row>
    <row r="23" spans="1:6" x14ac:dyDescent="0.2">
      <c r="A23" s="18" t="s">
        <v>1410</v>
      </c>
      <c r="B23" t="s">
        <v>1322</v>
      </c>
      <c r="C23" s="66">
        <v>71113.03</v>
      </c>
      <c r="D23" s="8">
        <f>C31</f>
        <v>78147.13</v>
      </c>
      <c r="E23" s="8">
        <f>D31</f>
        <v>84239.77</v>
      </c>
      <c r="F23" s="8">
        <f>E31</f>
        <v>64769.770000000004</v>
      </c>
    </row>
    <row r="24" spans="1:6" x14ac:dyDescent="0.2">
      <c r="A24" s="18"/>
      <c r="C24" s="67"/>
      <c r="D24" s="10"/>
      <c r="E24" s="10"/>
      <c r="F24" s="10"/>
    </row>
    <row r="25" spans="1:6" x14ac:dyDescent="0.2">
      <c r="A25" s="18"/>
      <c r="B25" t="s">
        <v>106</v>
      </c>
      <c r="C25" s="67">
        <f>C8</f>
        <v>7034.0999999999995</v>
      </c>
      <c r="D25" s="10">
        <f>D8</f>
        <v>6092.64</v>
      </c>
      <c r="E25" s="10">
        <f>E8</f>
        <v>5530</v>
      </c>
      <c r="F25" s="10">
        <f>F8</f>
        <v>3530</v>
      </c>
    </row>
    <row r="26" spans="1:6" x14ac:dyDescent="0.2">
      <c r="A26" s="18"/>
      <c r="C26" s="54"/>
      <c r="D26" s="16"/>
      <c r="E26" s="16"/>
      <c r="F26" s="16"/>
    </row>
    <row r="27" spans="1:6" x14ac:dyDescent="0.2">
      <c r="A27" s="18"/>
      <c r="B27" t="s">
        <v>1404</v>
      </c>
      <c r="C27" s="54">
        <f>C16</f>
        <v>0</v>
      </c>
      <c r="D27" s="16">
        <f>D16</f>
        <v>0</v>
      </c>
      <c r="E27" s="16">
        <f>E16</f>
        <v>25000</v>
      </c>
      <c r="F27" s="16">
        <v>10000</v>
      </c>
    </row>
    <row r="28" spans="1:6" x14ac:dyDescent="0.2">
      <c r="A28" s="18"/>
      <c r="C28" s="67"/>
      <c r="D28" s="10"/>
      <c r="E28" s="10"/>
      <c r="F28" s="10"/>
    </row>
    <row r="29" spans="1:6" x14ac:dyDescent="0.2">
      <c r="A29" s="18"/>
      <c r="B29" t="s">
        <v>1121</v>
      </c>
      <c r="C29" s="63">
        <v>0</v>
      </c>
      <c r="D29" s="12">
        <v>0</v>
      </c>
      <c r="E29" s="12">
        <v>0</v>
      </c>
      <c r="F29" s="12">
        <v>0</v>
      </c>
    </row>
    <row r="30" spans="1:6" x14ac:dyDescent="0.2">
      <c r="A30" s="18"/>
      <c r="C30" s="62"/>
    </row>
    <row r="31" spans="1:6" ht="13.5" thickBot="1" x14ac:dyDescent="0.25">
      <c r="A31" s="18"/>
      <c r="B31" t="s">
        <v>1326</v>
      </c>
      <c r="C31" s="71">
        <f>C23+C25-C27+C29</f>
        <v>78147.13</v>
      </c>
      <c r="D31" s="17">
        <f>D23+D25-D27+D29</f>
        <v>84239.77</v>
      </c>
      <c r="E31" s="17">
        <f>E23+E25-E27+E29</f>
        <v>64769.770000000004</v>
      </c>
      <c r="F31" s="17">
        <f>F23+F25-F27+F29</f>
        <v>58299.770000000004</v>
      </c>
    </row>
    <row r="32" spans="1:6" ht="13.5" thickTop="1" x14ac:dyDescent="0.2"/>
    <row r="124" spans="3:6" x14ac:dyDescent="0.2">
      <c r="C124" s="9"/>
      <c r="D124" s="9"/>
      <c r="E124" s="9"/>
      <c r="F124" s="9"/>
    </row>
  </sheetData>
  <phoneticPr fontId="2" type="noConversion"/>
  <pageMargins left="0.5" right="0.5" top="1" bottom="1" header="0.5" footer="0.5"/>
  <pageSetup scale="85" firstPageNumber="54" orientation="portrait" useFirstPageNumber="1" r:id="rId1"/>
  <headerFooter alignWithMargins="0"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F120"/>
  <sheetViews>
    <sheetView zoomScaleNormal="100" workbookViewId="0"/>
  </sheetViews>
  <sheetFormatPr defaultRowHeight="12.75" x14ac:dyDescent="0.2"/>
  <cols>
    <col min="1" max="1" width="14.85546875" bestFit="1" customWidth="1"/>
    <col min="2" max="2" width="41" customWidth="1"/>
    <col min="3" max="3" width="13.140625" bestFit="1" customWidth="1"/>
    <col min="4" max="6" width="13.28515625" bestFit="1" customWidth="1"/>
  </cols>
  <sheetData>
    <row r="1" spans="1:6" x14ac:dyDescent="0.2">
      <c r="A1" s="18" t="s">
        <v>1410</v>
      </c>
      <c r="B1" s="4" t="s">
        <v>638</v>
      </c>
      <c r="C1" s="1" t="s">
        <v>1410</v>
      </c>
      <c r="D1" s="1" t="s">
        <v>1410</v>
      </c>
      <c r="E1" s="1" t="s">
        <v>1410</v>
      </c>
      <c r="F1" s="1" t="s">
        <v>1410</v>
      </c>
    </row>
    <row r="2" spans="1:6" x14ac:dyDescent="0.2">
      <c r="A2" s="18"/>
      <c r="B2" s="4" t="s">
        <v>286</v>
      </c>
      <c r="C2" s="1" t="s">
        <v>1529</v>
      </c>
      <c r="D2" s="1" t="s">
        <v>1529</v>
      </c>
      <c r="E2" s="1" t="s">
        <v>1529</v>
      </c>
      <c r="F2" s="1" t="s">
        <v>1529</v>
      </c>
    </row>
    <row r="3" spans="1:6" x14ac:dyDescent="0.2">
      <c r="A3" s="18"/>
      <c r="B3" s="4" t="s">
        <v>1410</v>
      </c>
      <c r="C3" s="1" t="s">
        <v>1410</v>
      </c>
      <c r="D3" s="1" t="s">
        <v>1410</v>
      </c>
      <c r="E3" s="1" t="s">
        <v>1410</v>
      </c>
      <c r="F3" s="1" t="s">
        <v>1410</v>
      </c>
    </row>
    <row r="4" spans="1:6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6" x14ac:dyDescent="0.2">
      <c r="A5" s="18" t="s">
        <v>1410</v>
      </c>
      <c r="B5" s="4" t="s">
        <v>299</v>
      </c>
    </row>
    <row r="6" spans="1:6" x14ac:dyDescent="0.2">
      <c r="A6" s="18" t="s">
        <v>287</v>
      </c>
      <c r="B6" s="253" t="s">
        <v>1847</v>
      </c>
      <c r="C6" s="66">
        <v>4630</v>
      </c>
      <c r="D6" s="8">
        <v>4920</v>
      </c>
      <c r="E6" s="8">
        <v>4200</v>
      </c>
      <c r="F6" s="8">
        <v>4200</v>
      </c>
    </row>
    <row r="7" spans="1:6" x14ac:dyDescent="0.2">
      <c r="A7" s="18" t="s">
        <v>288</v>
      </c>
      <c r="B7" s="253" t="s">
        <v>1746</v>
      </c>
      <c r="C7" s="68">
        <v>134.62</v>
      </c>
      <c r="D7" s="29">
        <v>91.14</v>
      </c>
      <c r="E7" s="29">
        <v>100</v>
      </c>
      <c r="F7" s="29">
        <v>100</v>
      </c>
    </row>
    <row r="8" spans="1:6" ht="13.5" thickBot="1" x14ac:dyDescent="0.25">
      <c r="A8" s="18"/>
      <c r="B8" s="6" t="s">
        <v>129</v>
      </c>
      <c r="C8" s="78">
        <f>SUM(C6:C7)</f>
        <v>4764.62</v>
      </c>
      <c r="D8" s="14">
        <f>SUM(D6:D7)</f>
        <v>5011.1400000000003</v>
      </c>
      <c r="E8" s="14">
        <f>SUM(E6:E7)</f>
        <v>4300</v>
      </c>
      <c r="F8" s="14">
        <f>SUM(F6:F7)</f>
        <v>4300</v>
      </c>
    </row>
    <row r="9" spans="1:6" ht="13.5" thickTop="1" x14ac:dyDescent="0.2">
      <c r="A9" s="18"/>
      <c r="C9" s="62"/>
    </row>
    <row r="10" spans="1:6" x14ac:dyDescent="0.2">
      <c r="A10" s="18"/>
      <c r="B10" s="4" t="s">
        <v>844</v>
      </c>
      <c r="C10" s="62"/>
    </row>
    <row r="11" spans="1:6" x14ac:dyDescent="0.2">
      <c r="A11" s="18" t="s">
        <v>289</v>
      </c>
      <c r="B11" s="253" t="s">
        <v>2246</v>
      </c>
      <c r="C11" s="102">
        <v>0</v>
      </c>
      <c r="D11" s="56">
        <v>0</v>
      </c>
      <c r="E11" s="56">
        <v>4300</v>
      </c>
      <c r="F11" s="56">
        <v>4300</v>
      </c>
    </row>
    <row r="12" spans="1:6" ht="13.5" thickBot="1" x14ac:dyDescent="0.25">
      <c r="A12" s="18"/>
      <c r="B12" s="6" t="s">
        <v>1319</v>
      </c>
      <c r="C12" s="71">
        <f>SUM(C11:C11)</f>
        <v>0</v>
      </c>
      <c r="D12" s="17">
        <f>SUM(D11:D11)</f>
        <v>0</v>
      </c>
      <c r="E12" s="17">
        <f>SUM(E11:E11)</f>
        <v>4300</v>
      </c>
      <c r="F12" s="17">
        <f>SUM(F11:F11)</f>
        <v>4300</v>
      </c>
    </row>
    <row r="13" spans="1:6" ht="13.5" thickTop="1" x14ac:dyDescent="0.2">
      <c r="A13" s="18"/>
      <c r="B13" s="6"/>
      <c r="C13" s="72"/>
      <c r="D13" s="15"/>
      <c r="E13" s="15"/>
      <c r="F13" s="15"/>
    </row>
    <row r="14" spans="1:6" x14ac:dyDescent="0.2">
      <c r="A14" s="18"/>
      <c r="B14" s="4" t="s">
        <v>638</v>
      </c>
      <c r="C14" s="72"/>
      <c r="D14" s="15"/>
      <c r="E14" s="15"/>
      <c r="F14" s="15"/>
    </row>
    <row r="15" spans="1:6" x14ac:dyDescent="0.2">
      <c r="A15" s="18"/>
      <c r="B15" s="4" t="s">
        <v>286</v>
      </c>
      <c r="C15" s="72"/>
      <c r="D15" s="15"/>
      <c r="E15" s="15"/>
      <c r="F15" s="15"/>
    </row>
    <row r="16" spans="1:6" x14ac:dyDescent="0.2">
      <c r="A16" s="18"/>
      <c r="B16" s="31" t="s">
        <v>1321</v>
      </c>
      <c r="C16" s="72"/>
      <c r="D16" s="15"/>
      <c r="E16" s="15"/>
      <c r="F16" s="15"/>
    </row>
    <row r="17" spans="1:6" x14ac:dyDescent="0.2">
      <c r="A17" s="18" t="s">
        <v>1410</v>
      </c>
      <c r="C17" s="77" t="str">
        <f>+C4</f>
        <v>2018 ACTUAL</v>
      </c>
      <c r="D17" s="77" t="str">
        <f>+D4</f>
        <v>2019 ACTUAL</v>
      </c>
      <c r="E17" s="77" t="str">
        <f>+E4</f>
        <v>2020 BUDGET</v>
      </c>
      <c r="F17" s="77" t="str">
        <f>+F4</f>
        <v>2021 BUDGET</v>
      </c>
    </row>
    <row r="18" spans="1:6" x14ac:dyDescent="0.2">
      <c r="A18" s="18"/>
      <c r="C18" s="75"/>
      <c r="D18" s="1"/>
      <c r="E18" s="1"/>
      <c r="F18" s="1"/>
    </row>
    <row r="19" spans="1:6" x14ac:dyDescent="0.2">
      <c r="A19" s="18" t="s">
        <v>1410</v>
      </c>
      <c r="B19" t="s">
        <v>1322</v>
      </c>
      <c r="C19" s="66">
        <v>33390.730000000003</v>
      </c>
      <c r="D19" s="8">
        <f>C27</f>
        <v>38155.350000000006</v>
      </c>
      <c r="E19" s="8">
        <f>D27</f>
        <v>43166.490000000005</v>
      </c>
      <c r="F19" s="8">
        <f>E27</f>
        <v>43166.490000000005</v>
      </c>
    </row>
    <row r="20" spans="1:6" x14ac:dyDescent="0.2">
      <c r="A20" s="18"/>
      <c r="C20" s="67"/>
      <c r="D20" s="10"/>
      <c r="E20" s="10"/>
      <c r="F20" s="10"/>
    </row>
    <row r="21" spans="1:6" x14ac:dyDescent="0.2">
      <c r="A21" s="18"/>
      <c r="B21" t="s">
        <v>106</v>
      </c>
      <c r="C21" s="66">
        <f>C8</f>
        <v>4764.62</v>
      </c>
      <c r="D21" s="10">
        <f>D8</f>
        <v>5011.1400000000003</v>
      </c>
      <c r="E21" s="10">
        <f>E8</f>
        <v>4300</v>
      </c>
      <c r="F21" s="10">
        <f>F8</f>
        <v>4300</v>
      </c>
    </row>
    <row r="22" spans="1:6" x14ac:dyDescent="0.2">
      <c r="A22" s="18"/>
      <c r="C22" s="54"/>
      <c r="D22" s="16"/>
      <c r="E22" s="16"/>
      <c r="F22" s="16"/>
    </row>
    <row r="23" spans="1:6" x14ac:dyDescent="0.2">
      <c r="A23" s="18"/>
      <c r="B23" t="s">
        <v>1404</v>
      </c>
      <c r="C23" s="54">
        <f>C12</f>
        <v>0</v>
      </c>
      <c r="D23" s="16">
        <f>D12</f>
        <v>0</v>
      </c>
      <c r="E23" s="16">
        <f>E12</f>
        <v>4300</v>
      </c>
      <c r="F23" s="16">
        <f>F12</f>
        <v>4300</v>
      </c>
    </row>
    <row r="24" spans="1:6" x14ac:dyDescent="0.2">
      <c r="A24" s="18"/>
      <c r="C24" s="67"/>
      <c r="D24" s="10"/>
      <c r="E24" s="10"/>
      <c r="F24" s="10"/>
    </row>
    <row r="25" spans="1:6" x14ac:dyDescent="0.2">
      <c r="A25" s="18"/>
      <c r="B25" t="s">
        <v>1121</v>
      </c>
      <c r="C25" s="63">
        <v>0</v>
      </c>
      <c r="D25" s="12">
        <v>0</v>
      </c>
      <c r="E25" s="12">
        <v>0</v>
      </c>
      <c r="F25" s="12">
        <v>0</v>
      </c>
    </row>
    <row r="26" spans="1:6" x14ac:dyDescent="0.2">
      <c r="A26" s="18"/>
      <c r="C26" s="62"/>
    </row>
    <row r="27" spans="1:6" ht="13.5" thickBot="1" x14ac:dyDescent="0.25">
      <c r="A27" s="18"/>
      <c r="B27" t="s">
        <v>1326</v>
      </c>
      <c r="C27" s="71">
        <f>C19+C21-C23+C25</f>
        <v>38155.350000000006</v>
      </c>
      <c r="D27" s="17">
        <f>D19+D21-D23+D25</f>
        <v>43166.490000000005</v>
      </c>
      <c r="E27" s="17">
        <f>E19+E21-E23+E25</f>
        <v>43166.490000000005</v>
      </c>
      <c r="F27" s="17">
        <f>F19+F21-F23+F25</f>
        <v>43166.490000000005</v>
      </c>
    </row>
    <row r="28" spans="1:6" ht="13.5" thickTop="1" x14ac:dyDescent="0.2"/>
    <row r="120" spans="3:6" x14ac:dyDescent="0.2">
      <c r="C120" s="9"/>
      <c r="D120" s="9"/>
      <c r="E120" s="9"/>
      <c r="F120" s="9"/>
    </row>
  </sheetData>
  <phoneticPr fontId="2" type="noConversion"/>
  <pageMargins left="0.5" right="0.5" top="1" bottom="1" header="0.5" footer="0.5"/>
  <pageSetup scale="85" firstPageNumber="55" orientation="portrait" useFirstPageNumber="1" r:id="rId1"/>
  <headerFooter alignWithMargins="0"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F30"/>
  <sheetViews>
    <sheetView zoomScaleNormal="100" workbookViewId="0"/>
  </sheetViews>
  <sheetFormatPr defaultRowHeight="12.75" x14ac:dyDescent="0.2"/>
  <cols>
    <col min="1" max="1" width="14.85546875" bestFit="1" customWidth="1"/>
    <col min="2" max="2" width="40.42578125" customWidth="1"/>
    <col min="3" max="3" width="13.140625" bestFit="1" customWidth="1"/>
    <col min="4" max="6" width="13.28515625" bestFit="1" customWidth="1"/>
  </cols>
  <sheetData>
    <row r="1" spans="1:6" x14ac:dyDescent="0.2">
      <c r="A1" s="18" t="s">
        <v>1410</v>
      </c>
      <c r="B1" s="4" t="s">
        <v>638</v>
      </c>
      <c r="C1" s="75" t="s">
        <v>1410</v>
      </c>
      <c r="D1" s="1" t="s">
        <v>1410</v>
      </c>
      <c r="E1" s="1" t="s">
        <v>1410</v>
      </c>
      <c r="F1" s="1" t="s">
        <v>1410</v>
      </c>
    </row>
    <row r="2" spans="1:6" x14ac:dyDescent="0.2">
      <c r="A2" s="18"/>
      <c r="B2" s="4" t="s">
        <v>774</v>
      </c>
      <c r="C2" s="75" t="s">
        <v>1529</v>
      </c>
      <c r="D2" s="1" t="s">
        <v>1529</v>
      </c>
      <c r="E2" s="1" t="s">
        <v>1529</v>
      </c>
      <c r="F2" s="1" t="s">
        <v>1529</v>
      </c>
    </row>
    <row r="3" spans="1:6" x14ac:dyDescent="0.2">
      <c r="A3" s="18"/>
      <c r="B3" s="4" t="s">
        <v>1410</v>
      </c>
      <c r="C3" s="75" t="s">
        <v>1410</v>
      </c>
      <c r="D3" s="1" t="s">
        <v>1410</v>
      </c>
      <c r="E3" s="1" t="s">
        <v>1410</v>
      </c>
      <c r="F3" s="1" t="s">
        <v>1410</v>
      </c>
    </row>
    <row r="4" spans="1:6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6" x14ac:dyDescent="0.2">
      <c r="A5" s="18"/>
      <c r="B5" s="4" t="s">
        <v>299</v>
      </c>
      <c r="C5" s="62"/>
    </row>
    <row r="6" spans="1:6" x14ac:dyDescent="0.2">
      <c r="A6" s="18" t="s">
        <v>979</v>
      </c>
      <c r="B6" s="253" t="s">
        <v>2247</v>
      </c>
      <c r="C6" s="66">
        <v>0</v>
      </c>
      <c r="D6" s="8">
        <v>0</v>
      </c>
      <c r="E6" s="8">
        <v>0</v>
      </c>
      <c r="F6" s="8">
        <v>0</v>
      </c>
    </row>
    <row r="7" spans="1:6" x14ac:dyDescent="0.2">
      <c r="A7" s="18" t="s">
        <v>907</v>
      </c>
      <c r="B7" s="254" t="s">
        <v>2248</v>
      </c>
      <c r="C7" s="67">
        <v>0</v>
      </c>
      <c r="D7" s="10">
        <v>0</v>
      </c>
      <c r="E7" s="10">
        <v>0</v>
      </c>
      <c r="F7" s="10">
        <v>0</v>
      </c>
    </row>
    <row r="8" spans="1:6" x14ac:dyDescent="0.2">
      <c r="A8" s="18" t="s">
        <v>1689</v>
      </c>
      <c r="B8" s="254" t="s">
        <v>1746</v>
      </c>
      <c r="C8" s="67">
        <v>0</v>
      </c>
      <c r="D8" s="10">
        <v>0</v>
      </c>
      <c r="E8" s="10">
        <v>0</v>
      </c>
      <c r="F8" s="10">
        <v>0</v>
      </c>
    </row>
    <row r="9" spans="1:6" ht="13.5" thickBot="1" x14ac:dyDescent="0.25">
      <c r="A9" s="18"/>
      <c r="B9" s="6" t="s">
        <v>129</v>
      </c>
      <c r="C9" s="78">
        <f>SUM(C6:C8)</f>
        <v>0</v>
      </c>
      <c r="D9" s="78">
        <f>SUM(D6:D8)</f>
        <v>0</v>
      </c>
      <c r="E9" s="78">
        <f>SUM(E6:E8)</f>
        <v>0</v>
      </c>
      <c r="F9" s="78">
        <f>SUM(F6:F8)</f>
        <v>0</v>
      </c>
    </row>
    <row r="10" spans="1:6" ht="13.5" thickTop="1" x14ac:dyDescent="0.2">
      <c r="A10" s="18"/>
      <c r="C10" s="62"/>
    </row>
    <row r="11" spans="1:6" x14ac:dyDescent="0.2">
      <c r="A11" s="18"/>
      <c r="B11" s="4" t="s">
        <v>844</v>
      </c>
      <c r="C11" s="62"/>
    </row>
    <row r="12" spans="1:6" x14ac:dyDescent="0.2">
      <c r="A12" s="18" t="s">
        <v>908</v>
      </c>
      <c r="B12" s="253" t="s">
        <v>2248</v>
      </c>
      <c r="C12" s="89">
        <v>420</v>
      </c>
      <c r="D12" s="58">
        <v>-815.04</v>
      </c>
      <c r="E12" s="58">
        <v>0</v>
      </c>
      <c r="F12" s="58">
        <v>0</v>
      </c>
    </row>
    <row r="13" spans="1:6" x14ac:dyDescent="0.2">
      <c r="A13" s="18" t="s">
        <v>1196</v>
      </c>
      <c r="B13" s="253" t="s">
        <v>2247</v>
      </c>
      <c r="C13" s="68">
        <v>472.52</v>
      </c>
      <c r="D13" s="29">
        <v>820.04</v>
      </c>
      <c r="E13" s="29">
        <v>0</v>
      </c>
      <c r="F13" s="29">
        <v>0</v>
      </c>
    </row>
    <row r="14" spans="1:6" ht="13.5" thickBot="1" x14ac:dyDescent="0.25">
      <c r="A14" s="18"/>
      <c r="B14" s="6" t="s">
        <v>1319</v>
      </c>
      <c r="C14" s="71">
        <f>SUM(C12:C13)</f>
        <v>892.52</v>
      </c>
      <c r="D14" s="17">
        <f>SUM(D12:D13)</f>
        <v>5</v>
      </c>
      <c r="E14" s="17">
        <f>SUM(E12:E13)</f>
        <v>0</v>
      </c>
      <c r="F14" s="17">
        <f>SUM(F12:F13)</f>
        <v>0</v>
      </c>
    </row>
    <row r="15" spans="1:6" ht="13.5" thickTop="1" x14ac:dyDescent="0.2">
      <c r="A15" s="18"/>
      <c r="B15" s="6"/>
      <c r="C15" s="72"/>
      <c r="D15" s="15"/>
      <c r="E15" s="15"/>
      <c r="F15" s="15"/>
    </row>
    <row r="16" spans="1:6" x14ac:dyDescent="0.2">
      <c r="A16" s="18"/>
      <c r="B16" s="4" t="s">
        <v>638</v>
      </c>
      <c r="C16" s="72"/>
      <c r="D16" s="15"/>
      <c r="E16" s="15"/>
      <c r="F16" s="15"/>
    </row>
    <row r="17" spans="1:6" x14ac:dyDescent="0.2">
      <c r="A17" s="18"/>
      <c r="B17" s="4" t="s">
        <v>909</v>
      </c>
      <c r="C17" s="72"/>
      <c r="D17" s="15"/>
      <c r="E17" s="15"/>
      <c r="F17" s="15"/>
    </row>
    <row r="18" spans="1:6" x14ac:dyDescent="0.2">
      <c r="A18" s="18"/>
      <c r="B18" s="31" t="s">
        <v>1321</v>
      </c>
      <c r="C18" s="72"/>
      <c r="D18" s="15"/>
      <c r="E18" s="15"/>
      <c r="F18" s="15"/>
    </row>
    <row r="19" spans="1:6" x14ac:dyDescent="0.2">
      <c r="A19" s="18" t="s">
        <v>1410</v>
      </c>
      <c r="C19" s="77" t="str">
        <f>+C4</f>
        <v>2018 ACTUAL</v>
      </c>
      <c r="D19" s="77" t="str">
        <f>+D4</f>
        <v>2019 ACTUAL</v>
      </c>
      <c r="E19" s="77" t="str">
        <f>+E4</f>
        <v>2020 BUDGET</v>
      </c>
      <c r="F19" s="77" t="str">
        <f>+F4</f>
        <v>2021 BUDGET</v>
      </c>
    </row>
    <row r="20" spans="1:6" x14ac:dyDescent="0.2">
      <c r="A20" s="18"/>
      <c r="C20" s="75"/>
      <c r="D20" s="1"/>
      <c r="E20" s="1"/>
      <c r="F20" s="1"/>
    </row>
    <row r="21" spans="1:6" x14ac:dyDescent="0.2">
      <c r="A21" s="18" t="s">
        <v>1410</v>
      </c>
      <c r="B21" t="s">
        <v>1322</v>
      </c>
      <c r="C21" s="66">
        <v>900.10000000000014</v>
      </c>
      <c r="D21" s="8">
        <f>C29</f>
        <v>7.5800000000001546</v>
      </c>
      <c r="E21" s="8">
        <f>D29</f>
        <v>2.5800000000001546</v>
      </c>
      <c r="F21" s="8">
        <f>E29</f>
        <v>2.5800000000001546</v>
      </c>
    </row>
    <row r="22" spans="1:6" x14ac:dyDescent="0.2">
      <c r="A22" s="18"/>
      <c r="C22" s="67"/>
      <c r="D22" s="10"/>
      <c r="E22" s="10"/>
      <c r="F22" s="10"/>
    </row>
    <row r="23" spans="1:6" x14ac:dyDescent="0.2">
      <c r="A23" s="18"/>
      <c r="B23" t="s">
        <v>106</v>
      </c>
      <c r="C23" s="67">
        <f>C9</f>
        <v>0</v>
      </c>
      <c r="D23" s="10">
        <f>D9</f>
        <v>0</v>
      </c>
      <c r="E23" s="10">
        <f>E9</f>
        <v>0</v>
      </c>
      <c r="F23" s="10">
        <f>F9</f>
        <v>0</v>
      </c>
    </row>
    <row r="24" spans="1:6" x14ac:dyDescent="0.2">
      <c r="A24" s="18"/>
      <c r="C24" s="54"/>
      <c r="D24" s="16"/>
      <c r="E24" s="16"/>
      <c r="F24" s="16"/>
    </row>
    <row r="25" spans="1:6" x14ac:dyDescent="0.2">
      <c r="A25" s="18"/>
      <c r="B25" t="s">
        <v>1404</v>
      </c>
      <c r="C25" s="54">
        <f>C14</f>
        <v>892.52</v>
      </c>
      <c r="D25" s="16">
        <f>D14</f>
        <v>5</v>
      </c>
      <c r="E25" s="16">
        <f>E14</f>
        <v>0</v>
      </c>
      <c r="F25" s="16">
        <f>F14</f>
        <v>0</v>
      </c>
    </row>
    <row r="26" spans="1:6" x14ac:dyDescent="0.2">
      <c r="A26" s="18"/>
      <c r="C26" s="67"/>
      <c r="D26" s="10"/>
      <c r="E26" s="10"/>
      <c r="F26" s="10"/>
    </row>
    <row r="27" spans="1:6" x14ac:dyDescent="0.2">
      <c r="A27" s="18"/>
      <c r="B27" t="s">
        <v>1121</v>
      </c>
      <c r="C27" s="63">
        <v>0</v>
      </c>
      <c r="D27" s="12">
        <v>0</v>
      </c>
      <c r="E27" s="12">
        <v>0</v>
      </c>
      <c r="F27" s="12">
        <v>0</v>
      </c>
    </row>
    <row r="28" spans="1:6" x14ac:dyDescent="0.2">
      <c r="A28" s="18"/>
      <c r="C28" s="62"/>
    </row>
    <row r="29" spans="1:6" ht="13.5" thickBot="1" x14ac:dyDescent="0.25">
      <c r="A29" s="18"/>
      <c r="B29" t="s">
        <v>1326</v>
      </c>
      <c r="C29" s="71">
        <f>C21+C23-C25+C27</f>
        <v>7.5800000000001546</v>
      </c>
      <c r="D29" s="17">
        <f>D21+D23-D25+D27</f>
        <v>2.5800000000001546</v>
      </c>
      <c r="E29" s="17">
        <f>E21+E23-E25+E27</f>
        <v>2.5800000000001546</v>
      </c>
      <c r="F29" s="17">
        <f>F21+F23-F25+F27</f>
        <v>2.5800000000001546</v>
      </c>
    </row>
    <row r="30" spans="1:6" ht="13.5" thickTop="1" x14ac:dyDescent="0.2"/>
  </sheetData>
  <phoneticPr fontId="2" type="noConversion"/>
  <pageMargins left="0.5" right="0.5" top="1" bottom="1" header="0.5" footer="0.5"/>
  <pageSetup scale="85" firstPageNumber="56" orientation="portrait" useFirstPageNumber="1" r:id="rId1"/>
  <headerFooter alignWithMargins="0"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M73"/>
  <sheetViews>
    <sheetView zoomScaleNormal="100" workbookViewId="0"/>
  </sheetViews>
  <sheetFormatPr defaultRowHeight="12.75" x14ac:dyDescent="0.2"/>
  <cols>
    <col min="1" max="1" width="14.85546875" bestFit="1" customWidth="1"/>
    <col min="2" max="2" width="47" customWidth="1"/>
    <col min="3" max="3" width="13.140625" bestFit="1" customWidth="1"/>
    <col min="4" max="6" width="13.28515625" style="62" bestFit="1" customWidth="1"/>
    <col min="7" max="7" width="21.28515625" customWidth="1"/>
  </cols>
  <sheetData>
    <row r="1" spans="1:10" x14ac:dyDescent="0.2">
      <c r="A1" s="18" t="s">
        <v>1410</v>
      </c>
      <c r="B1" s="4" t="s">
        <v>638</v>
      </c>
      <c r="C1" s="75" t="s">
        <v>1410</v>
      </c>
      <c r="D1" s="75" t="s">
        <v>1410</v>
      </c>
      <c r="E1" s="75" t="s">
        <v>1410</v>
      </c>
      <c r="F1" s="75" t="s">
        <v>1410</v>
      </c>
    </row>
    <row r="2" spans="1:10" x14ac:dyDescent="0.2">
      <c r="A2" s="18"/>
      <c r="B2" s="4" t="s">
        <v>1511</v>
      </c>
      <c r="C2" s="75" t="s">
        <v>1410</v>
      </c>
      <c r="D2" s="75" t="s">
        <v>1410</v>
      </c>
      <c r="E2" s="75" t="s">
        <v>1410</v>
      </c>
      <c r="F2" s="75" t="s">
        <v>1410</v>
      </c>
    </row>
    <row r="3" spans="1:10" x14ac:dyDescent="0.2">
      <c r="A3" s="18"/>
      <c r="B3" s="4"/>
      <c r="C3" s="62"/>
    </row>
    <row r="4" spans="1:10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10" x14ac:dyDescent="0.2">
      <c r="A5" s="18" t="s">
        <v>1410</v>
      </c>
      <c r="B5" s="4" t="s">
        <v>299</v>
      </c>
      <c r="C5" s="62"/>
    </row>
    <row r="6" spans="1:10" x14ac:dyDescent="0.2">
      <c r="A6" s="18" t="s">
        <v>1208</v>
      </c>
      <c r="B6" s="253" t="s">
        <v>1831</v>
      </c>
      <c r="C6" s="66">
        <v>943973.92</v>
      </c>
      <c r="D6" s="66">
        <v>488291.03</v>
      </c>
      <c r="E6" s="66">
        <v>502680</v>
      </c>
      <c r="F6" s="66">
        <f>SUM(intro!H382)</f>
        <v>494077.1027424871</v>
      </c>
    </row>
    <row r="7" spans="1:10" x14ac:dyDescent="0.2">
      <c r="A7" s="18" t="s">
        <v>1209</v>
      </c>
      <c r="B7" s="253" t="s">
        <v>1832</v>
      </c>
      <c r="C7" s="67">
        <v>42147.23</v>
      </c>
      <c r="D7" s="67">
        <v>15313.91</v>
      </c>
      <c r="E7" s="67">
        <v>13750</v>
      </c>
      <c r="F7" s="67">
        <f>+intro!K392</f>
        <v>14910</v>
      </c>
    </row>
    <row r="8" spans="1:10" x14ac:dyDescent="0.2">
      <c r="A8" s="18" t="s">
        <v>1210</v>
      </c>
      <c r="B8" s="253" t="s">
        <v>1746</v>
      </c>
      <c r="C8" s="54">
        <v>228.82</v>
      </c>
      <c r="D8" s="54">
        <v>4631.59</v>
      </c>
      <c r="E8" s="54">
        <v>500</v>
      </c>
      <c r="F8" s="54">
        <v>500</v>
      </c>
      <c r="G8" s="62"/>
      <c r="H8" s="62"/>
      <c r="I8" s="62"/>
      <c r="J8" s="62"/>
    </row>
    <row r="9" spans="1:10" x14ac:dyDescent="0.2">
      <c r="A9" s="18" t="s">
        <v>1598</v>
      </c>
      <c r="B9" s="253" t="s">
        <v>1881</v>
      </c>
      <c r="C9" s="54">
        <v>0</v>
      </c>
      <c r="D9" s="54">
        <v>0</v>
      </c>
      <c r="E9" s="54">
        <v>0</v>
      </c>
      <c r="F9" s="54">
        <v>0</v>
      </c>
    </row>
    <row r="10" spans="1:10" x14ac:dyDescent="0.2">
      <c r="A10" s="129" t="s">
        <v>1727</v>
      </c>
      <c r="B10" s="254" t="s">
        <v>1882</v>
      </c>
      <c r="C10" s="63">
        <v>0</v>
      </c>
      <c r="D10" s="63">
        <v>0</v>
      </c>
      <c r="E10" s="63">
        <v>0</v>
      </c>
      <c r="F10" s="63">
        <v>0</v>
      </c>
    </row>
    <row r="11" spans="1:10" x14ac:dyDescent="0.2">
      <c r="A11" s="37"/>
      <c r="B11" s="6" t="s">
        <v>1099</v>
      </c>
      <c r="C11" s="15">
        <f t="shared" ref="C11:F11" si="0">SUM(C6:C10)</f>
        <v>986349.97</v>
      </c>
      <c r="D11" s="15">
        <f t="shared" si="0"/>
        <v>508236.53</v>
      </c>
      <c r="E11" s="15">
        <f t="shared" si="0"/>
        <v>516930</v>
      </c>
      <c r="F11" s="15">
        <f t="shared" si="0"/>
        <v>509487.1027424871</v>
      </c>
    </row>
    <row r="12" spans="1:10" x14ac:dyDescent="0.2">
      <c r="A12" s="37">
        <v>610.4</v>
      </c>
      <c r="B12" s="4" t="s">
        <v>1829</v>
      </c>
      <c r="C12" s="15"/>
      <c r="D12" s="15"/>
      <c r="E12" s="15"/>
      <c r="F12" s="15"/>
    </row>
    <row r="13" spans="1:10" x14ac:dyDescent="0.2">
      <c r="A13" s="37" t="s">
        <v>2270</v>
      </c>
      <c r="B13" s="253" t="s">
        <v>1886</v>
      </c>
      <c r="C13" s="82">
        <v>0</v>
      </c>
      <c r="D13" s="82">
        <v>3.53</v>
      </c>
      <c r="E13" s="63">
        <v>0</v>
      </c>
      <c r="F13" s="82">
        <v>0</v>
      </c>
    </row>
    <row r="14" spans="1:10" x14ac:dyDescent="0.2">
      <c r="A14" s="37"/>
      <c r="B14" s="6" t="s">
        <v>1099</v>
      </c>
      <c r="C14" s="263">
        <f t="shared" ref="C14:F14" si="1">+C13</f>
        <v>0</v>
      </c>
      <c r="D14" s="263">
        <f t="shared" si="1"/>
        <v>3.53</v>
      </c>
      <c r="E14" s="263">
        <f t="shared" si="1"/>
        <v>0</v>
      </c>
      <c r="F14" s="263">
        <f t="shared" si="1"/>
        <v>0</v>
      </c>
    </row>
    <row r="15" spans="1:10" x14ac:dyDescent="0.2">
      <c r="B15" s="6"/>
      <c r="C15" s="72"/>
      <c r="D15" s="54"/>
      <c r="E15" s="72"/>
      <c r="F15" s="72"/>
    </row>
    <row r="16" spans="1:10" ht="13.5" thickBot="1" x14ac:dyDescent="0.25">
      <c r="A16" s="18"/>
      <c r="B16" s="6" t="s">
        <v>129</v>
      </c>
      <c r="C16" s="206">
        <f t="shared" ref="C16:F16" si="2">+C11+C14</f>
        <v>986349.97</v>
      </c>
      <c r="D16" s="206">
        <f t="shared" si="2"/>
        <v>508240.06000000006</v>
      </c>
      <c r="E16" s="206">
        <f t="shared" si="2"/>
        <v>516930</v>
      </c>
      <c r="F16" s="206">
        <f t="shared" si="2"/>
        <v>509487.1027424871</v>
      </c>
    </row>
    <row r="17" spans="1:13" ht="13.5" thickTop="1" x14ac:dyDescent="0.2">
      <c r="A17" s="18"/>
      <c r="C17" s="62"/>
    </row>
    <row r="18" spans="1:13" x14ac:dyDescent="0.2">
      <c r="A18" s="18"/>
      <c r="B18" s="4" t="s">
        <v>844</v>
      </c>
      <c r="C18" s="62"/>
    </row>
    <row r="19" spans="1:13" x14ac:dyDescent="0.2">
      <c r="A19" s="264">
        <v>610.4</v>
      </c>
      <c r="B19" s="4" t="s">
        <v>1829</v>
      </c>
      <c r="C19" s="72"/>
      <c r="D19" s="54"/>
      <c r="E19" s="72"/>
      <c r="F19" s="72"/>
    </row>
    <row r="20" spans="1:13" x14ac:dyDescent="0.2">
      <c r="A20" s="268" t="s">
        <v>2270</v>
      </c>
      <c r="B20" s="254" t="s">
        <v>1887</v>
      </c>
      <c r="C20" s="82">
        <v>0</v>
      </c>
      <c r="D20" s="82">
        <v>0</v>
      </c>
      <c r="E20" s="63">
        <v>500000</v>
      </c>
      <c r="F20" s="82">
        <v>0</v>
      </c>
    </row>
    <row r="21" spans="1:13" x14ac:dyDescent="0.2">
      <c r="A21" s="37"/>
      <c r="B21" s="6" t="s">
        <v>1099</v>
      </c>
      <c r="C21" s="263">
        <f t="shared" ref="C21:F21" si="3">+C20</f>
        <v>0</v>
      </c>
      <c r="D21" s="263">
        <f t="shared" si="3"/>
        <v>0</v>
      </c>
      <c r="E21" s="263">
        <f t="shared" si="3"/>
        <v>500000</v>
      </c>
      <c r="F21" s="263">
        <f t="shared" si="3"/>
        <v>0</v>
      </c>
      <c r="G21" s="62"/>
      <c r="H21" s="62"/>
      <c r="I21" s="62"/>
      <c r="J21" s="62"/>
      <c r="K21" s="62"/>
      <c r="L21" s="62"/>
      <c r="M21" s="62"/>
    </row>
    <row r="22" spans="1:13" x14ac:dyDescent="0.2">
      <c r="A22" s="37"/>
      <c r="B22" s="6"/>
      <c r="C22" s="16"/>
      <c r="D22" s="16"/>
      <c r="E22" s="16"/>
      <c r="F22" s="16"/>
      <c r="G22" s="62"/>
      <c r="H22" s="62"/>
      <c r="I22" s="62"/>
      <c r="J22" s="62"/>
      <c r="K22" s="62"/>
      <c r="L22" s="62"/>
      <c r="M22" s="62"/>
    </row>
    <row r="23" spans="1:13" x14ac:dyDescent="0.2">
      <c r="A23" s="18" t="s">
        <v>1512</v>
      </c>
      <c r="B23" s="253" t="s">
        <v>2249</v>
      </c>
      <c r="C23" s="66">
        <v>405000</v>
      </c>
      <c r="D23" s="66">
        <v>395000</v>
      </c>
      <c r="E23" s="66">
        <v>410000</v>
      </c>
      <c r="F23" s="66">
        <f>+intro!F502</f>
        <v>395000</v>
      </c>
      <c r="G23" s="223"/>
      <c r="H23" s="62"/>
      <c r="I23" s="62"/>
      <c r="J23" s="62"/>
      <c r="K23" s="62"/>
      <c r="L23" s="62"/>
      <c r="M23" s="62"/>
    </row>
    <row r="24" spans="1:13" x14ac:dyDescent="0.2">
      <c r="A24" s="18" t="s">
        <v>1513</v>
      </c>
      <c r="B24" s="253" t="s">
        <v>2250</v>
      </c>
      <c r="C24" s="67">
        <v>31487</v>
      </c>
      <c r="D24" s="67">
        <v>26288</v>
      </c>
      <c r="E24" s="67">
        <v>20893</v>
      </c>
      <c r="F24" s="67">
        <f>+intro!G502</f>
        <v>15340</v>
      </c>
      <c r="G24" s="62"/>
      <c r="H24" s="223"/>
      <c r="I24" s="223"/>
      <c r="J24" s="62"/>
      <c r="K24" s="62"/>
      <c r="L24" s="62"/>
      <c r="M24" s="62"/>
    </row>
    <row r="25" spans="1:13" x14ac:dyDescent="0.2">
      <c r="A25" s="18" t="s">
        <v>1771</v>
      </c>
      <c r="B25" s="253" t="s">
        <v>2000</v>
      </c>
      <c r="C25" s="67">
        <v>0</v>
      </c>
      <c r="D25" s="67">
        <v>61139.64</v>
      </c>
      <c r="E25" s="67">
        <v>63497</v>
      </c>
      <c r="F25" s="67">
        <f>+intro!F503</f>
        <v>65447.590000000004</v>
      </c>
      <c r="G25" s="223"/>
      <c r="H25" s="67"/>
      <c r="I25" s="67"/>
      <c r="J25" s="62"/>
      <c r="K25" s="62"/>
      <c r="L25" s="62"/>
      <c r="M25" s="62"/>
    </row>
    <row r="26" spans="1:13" x14ac:dyDescent="0.2">
      <c r="A26" s="18" t="s">
        <v>1772</v>
      </c>
      <c r="B26" s="253" t="s">
        <v>2001</v>
      </c>
      <c r="C26" s="67">
        <v>0</v>
      </c>
      <c r="D26" s="67">
        <v>21291.24</v>
      </c>
      <c r="E26" s="67">
        <v>18934</v>
      </c>
      <c r="F26" s="67">
        <f>+intro!G503</f>
        <v>16983.289999999997</v>
      </c>
      <c r="G26" s="223"/>
      <c r="H26" s="67"/>
      <c r="I26" s="67"/>
      <c r="J26" s="62"/>
      <c r="K26" s="62"/>
      <c r="L26" s="62"/>
      <c r="M26" s="62"/>
    </row>
    <row r="27" spans="1:13" x14ac:dyDescent="0.2">
      <c r="A27" s="18" t="s">
        <v>1514</v>
      </c>
      <c r="B27" s="253" t="s">
        <v>2251</v>
      </c>
      <c r="C27" s="67">
        <v>0</v>
      </c>
      <c r="D27" s="67">
        <v>0</v>
      </c>
      <c r="E27" s="67">
        <v>0</v>
      </c>
      <c r="F27" s="67">
        <v>0</v>
      </c>
      <c r="G27" s="223"/>
      <c r="H27" s="67"/>
      <c r="I27" s="62"/>
      <c r="J27" s="62"/>
      <c r="K27" s="62"/>
      <c r="L27" s="62"/>
      <c r="M27" s="62"/>
    </row>
    <row r="28" spans="1:13" x14ac:dyDescent="0.2">
      <c r="A28" s="18" t="s">
        <v>1515</v>
      </c>
      <c r="B28" s="253" t="s">
        <v>2252</v>
      </c>
      <c r="C28" s="67">
        <v>0</v>
      </c>
      <c r="D28" s="67">
        <v>0</v>
      </c>
      <c r="E28" s="67">
        <v>0</v>
      </c>
      <c r="F28" s="67">
        <v>0</v>
      </c>
      <c r="G28" s="223"/>
      <c r="H28" s="67"/>
      <c r="I28" s="67"/>
      <c r="J28" s="62"/>
      <c r="K28" s="62"/>
      <c r="L28" s="62"/>
      <c r="M28" s="62"/>
    </row>
    <row r="29" spans="1:13" x14ac:dyDescent="0.2">
      <c r="A29" s="18" t="s">
        <v>1516</v>
      </c>
      <c r="B29" s="253" t="s">
        <v>2253</v>
      </c>
      <c r="C29" s="67">
        <v>0</v>
      </c>
      <c r="D29" s="67">
        <v>0</v>
      </c>
      <c r="E29" s="67">
        <v>0</v>
      </c>
      <c r="F29" s="67">
        <v>0</v>
      </c>
      <c r="G29" s="223"/>
      <c r="H29" s="67"/>
      <c r="I29" s="62"/>
      <c r="J29" s="62"/>
      <c r="K29" s="62"/>
      <c r="L29" s="62"/>
      <c r="M29" s="62"/>
    </row>
    <row r="30" spans="1:13" ht="12" customHeight="1" x14ac:dyDescent="0.2">
      <c r="A30" s="18" t="s">
        <v>1517</v>
      </c>
      <c r="B30" s="253" t="s">
        <v>2254</v>
      </c>
      <c r="C30" s="67">
        <v>0</v>
      </c>
      <c r="D30" s="67">
        <v>0</v>
      </c>
      <c r="E30" s="67">
        <v>0</v>
      </c>
      <c r="F30" s="67">
        <v>0</v>
      </c>
      <c r="G30" s="223"/>
      <c r="H30" s="67"/>
      <c r="I30" s="62"/>
      <c r="J30" s="62"/>
      <c r="K30" s="62"/>
      <c r="L30" s="62"/>
      <c r="M30" s="62"/>
    </row>
    <row r="31" spans="1:13" hidden="1" x14ac:dyDescent="0.2">
      <c r="A31" s="18" t="s">
        <v>905</v>
      </c>
      <c r="B31" s="253" t="s">
        <v>292</v>
      </c>
      <c r="C31" s="67">
        <v>0</v>
      </c>
      <c r="D31" s="67">
        <v>0</v>
      </c>
      <c r="E31" s="67">
        <v>0</v>
      </c>
      <c r="F31" s="67">
        <v>0</v>
      </c>
      <c r="G31" s="223"/>
      <c r="H31" s="287"/>
      <c r="I31" s="62"/>
      <c r="J31" s="62"/>
      <c r="K31" s="62"/>
      <c r="L31" s="62"/>
      <c r="M31" s="62"/>
    </row>
    <row r="32" spans="1:13" hidden="1" x14ac:dyDescent="0.2">
      <c r="A32" s="18" t="s">
        <v>906</v>
      </c>
      <c r="B32" s="253" t="s">
        <v>291</v>
      </c>
      <c r="C32" s="67">
        <v>0</v>
      </c>
      <c r="D32" s="67">
        <v>0</v>
      </c>
      <c r="E32" s="67">
        <v>0</v>
      </c>
      <c r="F32" s="67">
        <v>0</v>
      </c>
      <c r="G32" s="62"/>
      <c r="H32" s="62"/>
      <c r="I32" s="62"/>
      <c r="J32" s="62"/>
      <c r="K32" s="62"/>
      <c r="L32" s="62"/>
      <c r="M32" s="62"/>
    </row>
    <row r="33" spans="1:13" hidden="1" x14ac:dyDescent="0.2">
      <c r="A33" s="18" t="s">
        <v>261</v>
      </c>
      <c r="B33" s="253" t="s">
        <v>775</v>
      </c>
      <c r="C33" s="67">
        <v>0</v>
      </c>
      <c r="D33" s="67">
        <v>0</v>
      </c>
      <c r="E33" s="67">
        <v>0</v>
      </c>
      <c r="F33" s="67">
        <v>0</v>
      </c>
      <c r="G33" s="62"/>
      <c r="H33" s="62"/>
      <c r="I33" s="62"/>
      <c r="J33" s="62"/>
      <c r="K33" s="62"/>
      <c r="L33" s="62"/>
      <c r="M33" s="62"/>
    </row>
    <row r="34" spans="1:13" hidden="1" x14ac:dyDescent="0.2">
      <c r="A34" s="18" t="s">
        <v>262</v>
      </c>
      <c r="B34" s="253" t="s">
        <v>776</v>
      </c>
      <c r="C34" s="67">
        <v>0</v>
      </c>
      <c r="D34" s="67">
        <v>0</v>
      </c>
      <c r="E34" s="67">
        <v>0</v>
      </c>
      <c r="F34" s="67">
        <v>0</v>
      </c>
      <c r="G34" s="62"/>
      <c r="H34" s="62"/>
      <c r="I34" s="62"/>
      <c r="J34" s="62"/>
      <c r="K34" s="62"/>
      <c r="L34" s="62"/>
      <c r="M34" s="62"/>
    </row>
    <row r="35" spans="1:13" hidden="1" x14ac:dyDescent="0.2">
      <c r="A35" s="79" t="s">
        <v>293</v>
      </c>
      <c r="B35" s="262" t="s">
        <v>777</v>
      </c>
      <c r="C35" s="67">
        <v>0</v>
      </c>
      <c r="D35" s="67">
        <v>0</v>
      </c>
      <c r="E35" s="67">
        <v>0</v>
      </c>
      <c r="F35" s="67">
        <v>0</v>
      </c>
      <c r="G35" s="62"/>
      <c r="H35" s="62"/>
      <c r="I35" s="62"/>
      <c r="J35" s="62"/>
      <c r="K35" s="62"/>
      <c r="L35" s="62"/>
      <c r="M35" s="62"/>
    </row>
    <row r="36" spans="1:13" hidden="1" x14ac:dyDescent="0.2">
      <c r="A36" s="79" t="s">
        <v>290</v>
      </c>
      <c r="B36" s="262" t="s">
        <v>778</v>
      </c>
      <c r="C36" s="67">
        <v>0</v>
      </c>
      <c r="D36" s="67">
        <v>0</v>
      </c>
      <c r="E36" s="67">
        <v>0</v>
      </c>
      <c r="F36" s="67">
        <v>0</v>
      </c>
      <c r="G36" s="62"/>
      <c r="H36" s="62"/>
      <c r="I36" s="62"/>
      <c r="J36" s="62"/>
      <c r="K36" s="62"/>
      <c r="L36" s="62"/>
      <c r="M36" s="62"/>
    </row>
    <row r="37" spans="1:13" x14ac:dyDescent="0.2">
      <c r="A37" s="79" t="s">
        <v>779</v>
      </c>
      <c r="B37" s="262" t="s">
        <v>2255</v>
      </c>
      <c r="C37" s="67">
        <v>0</v>
      </c>
      <c r="D37" s="67">
        <v>0</v>
      </c>
      <c r="E37" s="67">
        <v>0</v>
      </c>
      <c r="F37" s="67">
        <v>0</v>
      </c>
      <c r="G37" s="223"/>
      <c r="H37" s="54"/>
      <c r="I37" s="54"/>
      <c r="J37" s="62"/>
      <c r="K37" s="62"/>
      <c r="L37" s="62"/>
      <c r="M37" s="62"/>
    </row>
    <row r="38" spans="1:13" x14ac:dyDescent="0.2">
      <c r="A38" s="79" t="s">
        <v>780</v>
      </c>
      <c r="B38" s="262" t="s">
        <v>2256</v>
      </c>
      <c r="C38" s="67">
        <v>0</v>
      </c>
      <c r="D38" s="67">
        <v>0</v>
      </c>
      <c r="E38" s="67">
        <v>0</v>
      </c>
      <c r="F38" s="67">
        <v>0</v>
      </c>
      <c r="G38" s="62"/>
      <c r="H38" s="54"/>
      <c r="I38" s="54"/>
      <c r="J38" s="62"/>
      <c r="K38" s="62"/>
      <c r="L38" s="62"/>
      <c r="M38" s="62"/>
    </row>
    <row r="39" spans="1:13" x14ac:dyDescent="0.2">
      <c r="A39" s="79" t="s">
        <v>781</v>
      </c>
      <c r="B39" s="262" t="s">
        <v>2257</v>
      </c>
      <c r="C39" s="67">
        <v>0</v>
      </c>
      <c r="D39" s="67">
        <v>0</v>
      </c>
      <c r="E39" s="67">
        <v>0</v>
      </c>
      <c r="F39" s="67">
        <v>0</v>
      </c>
      <c r="G39" s="62"/>
      <c r="H39" s="62"/>
      <c r="I39" s="62"/>
      <c r="J39" s="62"/>
      <c r="K39" s="62"/>
      <c r="L39" s="62"/>
      <c r="M39" s="62"/>
    </row>
    <row r="40" spans="1:13" x14ac:dyDescent="0.2">
      <c r="A40" s="79" t="s">
        <v>395</v>
      </c>
      <c r="B40" s="262" t="s">
        <v>2258</v>
      </c>
      <c r="C40" s="67">
        <v>0</v>
      </c>
      <c r="D40" s="67">
        <v>0</v>
      </c>
      <c r="E40" s="67">
        <v>0</v>
      </c>
      <c r="F40" s="67">
        <v>0</v>
      </c>
      <c r="G40" s="62"/>
      <c r="H40" s="62"/>
      <c r="I40" s="62"/>
      <c r="J40" s="62"/>
      <c r="K40" s="62"/>
      <c r="L40" s="62"/>
      <c r="M40" s="62"/>
    </row>
    <row r="41" spans="1:13" x14ac:dyDescent="0.2">
      <c r="A41" s="79" t="s">
        <v>51</v>
      </c>
      <c r="B41" s="262" t="s">
        <v>2259</v>
      </c>
      <c r="C41" s="67">
        <v>27763.200000000001</v>
      </c>
      <c r="D41" s="67">
        <v>0</v>
      </c>
      <c r="E41" s="67">
        <v>0</v>
      </c>
      <c r="F41" s="67">
        <v>0</v>
      </c>
      <c r="G41" s="62"/>
      <c r="H41" s="62"/>
      <c r="I41" s="62"/>
      <c r="J41" s="62"/>
      <c r="K41" s="62"/>
      <c r="L41" s="62"/>
      <c r="M41" s="62"/>
    </row>
    <row r="42" spans="1:13" x14ac:dyDescent="0.2">
      <c r="A42" s="79" t="s">
        <v>52</v>
      </c>
      <c r="B42" s="262" t="s">
        <v>2260</v>
      </c>
      <c r="C42" s="67">
        <v>2784.39</v>
      </c>
      <c r="D42" s="67">
        <v>0</v>
      </c>
      <c r="E42" s="67">
        <v>0</v>
      </c>
      <c r="F42" s="67">
        <v>0</v>
      </c>
    </row>
    <row r="43" spans="1:13" x14ac:dyDescent="0.2">
      <c r="A43" s="79" t="s">
        <v>53</v>
      </c>
      <c r="B43" s="262" t="s">
        <v>2261</v>
      </c>
      <c r="C43" s="67">
        <v>22078.41</v>
      </c>
      <c r="D43" s="67">
        <v>0</v>
      </c>
      <c r="E43" s="67">
        <v>0</v>
      </c>
      <c r="F43" s="67">
        <v>0</v>
      </c>
    </row>
    <row r="44" spans="1:13" x14ac:dyDescent="0.2">
      <c r="A44" s="79" t="s">
        <v>54</v>
      </c>
      <c r="B44" s="262" t="s">
        <v>2262</v>
      </c>
      <c r="C44" s="67">
        <v>2214.2199999999998</v>
      </c>
      <c r="D44" s="67">
        <v>0</v>
      </c>
      <c r="E44" s="67">
        <v>0</v>
      </c>
      <c r="F44" s="67">
        <v>0</v>
      </c>
    </row>
    <row r="45" spans="1:13" x14ac:dyDescent="0.2">
      <c r="A45" s="79" t="s">
        <v>55</v>
      </c>
      <c r="B45" s="262" t="s">
        <v>2263</v>
      </c>
      <c r="C45" s="67">
        <v>0</v>
      </c>
      <c r="D45" s="67">
        <v>0</v>
      </c>
      <c r="E45" s="67">
        <v>0</v>
      </c>
      <c r="F45" s="67">
        <v>0</v>
      </c>
    </row>
    <row r="46" spans="1:13" x14ac:dyDescent="0.2">
      <c r="A46" s="79" t="s">
        <v>56</v>
      </c>
      <c r="B46" s="262" t="s">
        <v>2264</v>
      </c>
      <c r="C46" s="67">
        <v>0</v>
      </c>
      <c r="D46" s="67">
        <v>0</v>
      </c>
      <c r="E46" s="67">
        <v>0</v>
      </c>
      <c r="F46" s="67">
        <v>0</v>
      </c>
    </row>
    <row r="47" spans="1:13" x14ac:dyDescent="0.2">
      <c r="A47" s="202" t="s">
        <v>1646</v>
      </c>
      <c r="B47" s="262" t="s">
        <v>2265</v>
      </c>
      <c r="C47" s="67">
        <v>0</v>
      </c>
      <c r="D47" s="67">
        <v>0</v>
      </c>
      <c r="E47" s="67">
        <v>0</v>
      </c>
      <c r="F47" s="67">
        <v>0</v>
      </c>
    </row>
    <row r="48" spans="1:13" x14ac:dyDescent="0.2">
      <c r="A48" s="202" t="s">
        <v>1647</v>
      </c>
      <c r="B48" s="262" t="s">
        <v>2266</v>
      </c>
      <c r="C48" s="67">
        <v>0</v>
      </c>
      <c r="D48" s="34">
        <v>0</v>
      </c>
      <c r="E48" s="34">
        <v>0</v>
      </c>
      <c r="F48" s="34">
        <v>0</v>
      </c>
    </row>
    <row r="49" spans="1:6" x14ac:dyDescent="0.2">
      <c r="A49" s="202" t="s">
        <v>1652</v>
      </c>
      <c r="B49" s="262" t="s">
        <v>2267</v>
      </c>
      <c r="C49" s="67">
        <v>0</v>
      </c>
      <c r="D49" s="67">
        <v>0</v>
      </c>
      <c r="E49" s="67">
        <v>0</v>
      </c>
      <c r="F49" s="67">
        <v>0</v>
      </c>
    </row>
    <row r="50" spans="1:6" x14ac:dyDescent="0.2">
      <c r="A50" s="202" t="s">
        <v>1653</v>
      </c>
      <c r="B50" s="262" t="s">
        <v>2268</v>
      </c>
      <c r="C50" s="67">
        <v>0</v>
      </c>
      <c r="D50" s="67">
        <v>0</v>
      </c>
      <c r="E50" s="67">
        <v>0</v>
      </c>
      <c r="F50" s="67">
        <v>0</v>
      </c>
    </row>
    <row r="51" spans="1:6" x14ac:dyDescent="0.2">
      <c r="A51" s="18" t="s">
        <v>1518</v>
      </c>
      <c r="B51" s="253" t="s">
        <v>2269</v>
      </c>
      <c r="C51" s="63">
        <v>400</v>
      </c>
      <c r="D51" s="63">
        <v>400</v>
      </c>
      <c r="E51" s="63">
        <v>400</v>
      </c>
      <c r="F51" s="63">
        <v>400</v>
      </c>
    </row>
    <row r="52" spans="1:6" x14ac:dyDescent="0.2">
      <c r="A52" s="18"/>
      <c r="B52" s="253"/>
      <c r="C52" s="36">
        <f t="shared" ref="C52:F52" si="4">SUM(C23:C51)</f>
        <v>491727.22</v>
      </c>
      <c r="D52" s="36">
        <f t="shared" si="4"/>
        <v>504118.88</v>
      </c>
      <c r="E52" s="36">
        <f t="shared" si="4"/>
        <v>513724</v>
      </c>
      <c r="F52" s="36">
        <f t="shared" si="4"/>
        <v>493170.88</v>
      </c>
    </row>
    <row r="53" spans="1:6" x14ac:dyDescent="0.2">
      <c r="A53" s="18"/>
      <c r="B53" s="253"/>
      <c r="C53" s="54"/>
      <c r="D53" s="54"/>
      <c r="E53" s="54"/>
      <c r="F53" s="54"/>
    </row>
    <row r="54" spans="1:6" ht="13.5" thickBot="1" x14ac:dyDescent="0.25">
      <c r="A54" s="18"/>
      <c r="B54" s="6" t="s">
        <v>1319</v>
      </c>
      <c r="C54" s="78">
        <f t="shared" ref="C54:F54" si="5">+C52+C21</f>
        <v>491727.22</v>
      </c>
      <c r="D54" s="78">
        <f t="shared" si="5"/>
        <v>504118.88</v>
      </c>
      <c r="E54" s="78">
        <f t="shared" si="5"/>
        <v>1013724</v>
      </c>
      <c r="F54" s="78">
        <f t="shared" si="5"/>
        <v>493170.88</v>
      </c>
    </row>
    <row r="55" spans="1:6" ht="13.5" thickTop="1" x14ac:dyDescent="0.2">
      <c r="A55" s="18" t="s">
        <v>1410</v>
      </c>
      <c r="B55" s="6"/>
      <c r="C55" s="15"/>
      <c r="D55" s="72"/>
      <c r="E55" s="72"/>
      <c r="F55" s="72"/>
    </row>
    <row r="56" spans="1:6" x14ac:dyDescent="0.2">
      <c r="A56" s="18"/>
      <c r="B56" s="6"/>
      <c r="C56" s="15"/>
      <c r="D56" s="72"/>
      <c r="E56" s="72"/>
      <c r="F56" s="72"/>
    </row>
    <row r="57" spans="1:6" x14ac:dyDescent="0.2">
      <c r="A57" s="18"/>
      <c r="B57" s="4" t="s">
        <v>638</v>
      </c>
      <c r="C57" s="15"/>
      <c r="D57" s="72"/>
      <c r="E57" s="72"/>
      <c r="F57" s="72"/>
    </row>
    <row r="58" spans="1:6" x14ac:dyDescent="0.2">
      <c r="A58" s="18"/>
      <c r="B58" s="4" t="s">
        <v>1511</v>
      </c>
      <c r="C58" s="15"/>
      <c r="D58" s="72"/>
      <c r="E58" s="72"/>
      <c r="F58" s="72"/>
    </row>
    <row r="59" spans="1:6" x14ac:dyDescent="0.2">
      <c r="A59" s="18"/>
      <c r="B59" s="38" t="s">
        <v>1321</v>
      </c>
      <c r="C59" s="72"/>
      <c r="D59" s="72"/>
      <c r="E59" s="72"/>
      <c r="F59" s="72"/>
    </row>
    <row r="60" spans="1:6" x14ac:dyDescent="0.2">
      <c r="A60" s="18"/>
      <c r="C60" s="77" t="str">
        <f>+C4</f>
        <v>2018 ACTUAL</v>
      </c>
      <c r="D60" s="77" t="str">
        <f>+D4</f>
        <v>2019 ACTUAL</v>
      </c>
      <c r="E60" s="77" t="str">
        <f>+E4</f>
        <v>2020 BUDGET</v>
      </c>
      <c r="F60" s="77" t="str">
        <f>+F4</f>
        <v>2021 BUDGET</v>
      </c>
    </row>
    <row r="61" spans="1:6" x14ac:dyDescent="0.2">
      <c r="C61" s="75"/>
      <c r="D61" s="75"/>
      <c r="E61" s="75"/>
      <c r="F61" s="75"/>
    </row>
    <row r="62" spans="1:6" x14ac:dyDescent="0.2">
      <c r="B62" t="s">
        <v>1322</v>
      </c>
      <c r="C62" s="66">
        <v>4972.3999999999069</v>
      </c>
      <c r="D62" s="66">
        <f>C70</f>
        <v>499595.14999999991</v>
      </c>
      <c r="E62" s="66">
        <f>D70</f>
        <v>503716.32999999996</v>
      </c>
      <c r="F62" s="66">
        <f>E70</f>
        <v>6922.3299999999581</v>
      </c>
    </row>
    <row r="63" spans="1:6" x14ac:dyDescent="0.2">
      <c r="C63" s="67"/>
      <c r="D63" s="67"/>
      <c r="E63" s="67"/>
      <c r="F63" s="67"/>
    </row>
    <row r="64" spans="1:6" x14ac:dyDescent="0.2">
      <c r="B64" t="s">
        <v>106</v>
      </c>
      <c r="C64" s="67">
        <f>C16</f>
        <v>986349.97</v>
      </c>
      <c r="D64" s="67">
        <f>D16</f>
        <v>508240.06000000006</v>
      </c>
      <c r="E64" s="67">
        <f>E16</f>
        <v>516930</v>
      </c>
      <c r="F64" s="67">
        <f>F16</f>
        <v>509487.1027424871</v>
      </c>
    </row>
    <row r="65" spans="2:6" x14ac:dyDescent="0.2">
      <c r="C65" s="67"/>
      <c r="D65" s="67"/>
      <c r="E65" s="67"/>
      <c r="F65" s="67"/>
    </row>
    <row r="66" spans="2:6" x14ac:dyDescent="0.2">
      <c r="B66" t="s">
        <v>1404</v>
      </c>
      <c r="C66" s="54">
        <f>C54</f>
        <v>491727.22</v>
      </c>
      <c r="D66" s="54">
        <f>D54</f>
        <v>504118.88</v>
      </c>
      <c r="E66" s="54">
        <f>E54</f>
        <v>1013724</v>
      </c>
      <c r="F66" s="54">
        <f>F54</f>
        <v>493170.88</v>
      </c>
    </row>
    <row r="67" spans="2:6" x14ac:dyDescent="0.2">
      <c r="C67" s="54"/>
      <c r="D67" s="54"/>
      <c r="E67" s="54"/>
      <c r="F67" s="54"/>
    </row>
    <row r="68" spans="2:6" x14ac:dyDescent="0.2">
      <c r="B68" t="s">
        <v>149</v>
      </c>
      <c r="C68" s="12">
        <v>0</v>
      </c>
      <c r="D68" s="63">
        <v>0</v>
      </c>
      <c r="E68" s="63">
        <v>0</v>
      </c>
      <c r="F68" s="63">
        <v>0</v>
      </c>
    </row>
    <row r="69" spans="2:6" x14ac:dyDescent="0.2">
      <c r="C69" s="62"/>
    </row>
    <row r="70" spans="2:6" ht="13.5" thickBot="1" x14ac:dyDescent="0.25">
      <c r="B70" t="s">
        <v>1326</v>
      </c>
      <c r="C70" s="71">
        <f>C62+C64-C66+C68</f>
        <v>499595.14999999991</v>
      </c>
      <c r="D70" s="71">
        <f>D62+D64-D66+D68</f>
        <v>503716.32999999996</v>
      </c>
      <c r="E70" s="71">
        <f>E62+E64-E66+E68</f>
        <v>6922.3299999999581</v>
      </c>
      <c r="F70" s="71">
        <f>F62+F64-F66+F68</f>
        <v>23238.552742487052</v>
      </c>
    </row>
    <row r="71" spans="2:6" ht="12" customHeight="1" thickTop="1" x14ac:dyDescent="0.2"/>
    <row r="72" spans="2:6" x14ac:dyDescent="0.2">
      <c r="D72" s="67"/>
    </row>
    <row r="73" spans="2:6" x14ac:dyDescent="0.2">
      <c r="C73" s="10"/>
    </row>
  </sheetData>
  <phoneticPr fontId="2" type="noConversion"/>
  <pageMargins left="0.5" right="0.5" top="1" bottom="1" header="0.5" footer="0.5"/>
  <pageSetup scale="80" firstPageNumber="57" orientation="portrait" useFirstPageNumber="1" r:id="rId1"/>
  <headerFooter alignWithMargins="0">
    <oddFooter xml:space="preserve">&amp;C&amp;P
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F132"/>
  <sheetViews>
    <sheetView zoomScaleNormal="100" workbookViewId="0">
      <selection activeCell="L39" sqref="L39"/>
    </sheetView>
  </sheetViews>
  <sheetFormatPr defaultRowHeight="12.75" x14ac:dyDescent="0.2"/>
  <cols>
    <col min="1" max="1" width="14.85546875" bestFit="1" customWidth="1"/>
    <col min="2" max="2" width="40" customWidth="1"/>
    <col min="3" max="3" width="13.140625" bestFit="1" customWidth="1"/>
    <col min="4" max="6" width="13.28515625" style="62" bestFit="1" customWidth="1"/>
  </cols>
  <sheetData>
    <row r="1" spans="1:6" x14ac:dyDescent="0.2">
      <c r="A1" s="18" t="s">
        <v>1410</v>
      </c>
      <c r="B1" s="4" t="s">
        <v>638</v>
      </c>
      <c r="C1" s="1" t="s">
        <v>1410</v>
      </c>
      <c r="D1" s="75" t="s">
        <v>1410</v>
      </c>
      <c r="E1" s="75" t="s">
        <v>1410</v>
      </c>
      <c r="F1" s="75" t="s">
        <v>1410</v>
      </c>
    </row>
    <row r="2" spans="1:6" x14ac:dyDescent="0.2">
      <c r="A2" s="18"/>
      <c r="B2" s="4" t="s">
        <v>1523</v>
      </c>
      <c r="C2" s="1" t="s">
        <v>1410</v>
      </c>
      <c r="D2" s="75" t="s">
        <v>1410</v>
      </c>
      <c r="E2" s="75" t="s">
        <v>1410</v>
      </c>
      <c r="F2" s="75" t="s">
        <v>1410</v>
      </c>
    </row>
    <row r="3" spans="1:6" x14ac:dyDescent="0.2">
      <c r="A3" s="18"/>
      <c r="B3" s="4"/>
      <c r="C3" s="1" t="s">
        <v>1410</v>
      </c>
      <c r="D3" s="75" t="s">
        <v>1410</v>
      </c>
      <c r="E3" s="75" t="s">
        <v>1410</v>
      </c>
      <c r="F3" s="75" t="s">
        <v>1410</v>
      </c>
    </row>
    <row r="4" spans="1:6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6" x14ac:dyDescent="0.2">
      <c r="A5" s="18" t="s">
        <v>1410</v>
      </c>
      <c r="B5" s="4" t="s">
        <v>299</v>
      </c>
    </row>
    <row r="6" spans="1:6" x14ac:dyDescent="0.2">
      <c r="A6" s="18" t="s">
        <v>1211</v>
      </c>
      <c r="B6" s="253" t="s">
        <v>1831</v>
      </c>
      <c r="C6" s="8">
        <v>484462.39</v>
      </c>
      <c r="D6" s="66">
        <v>106613.75999999999</v>
      </c>
      <c r="E6" s="66">
        <v>251340</v>
      </c>
      <c r="F6" s="66">
        <f>SUM(intro!H383)</f>
        <v>271394.46488671826</v>
      </c>
    </row>
    <row r="7" spans="1:6" x14ac:dyDescent="0.2">
      <c r="A7" s="18" t="s">
        <v>1212</v>
      </c>
      <c r="B7" s="253" t="s">
        <v>1832</v>
      </c>
      <c r="C7" s="10">
        <v>21630.6</v>
      </c>
      <c r="D7" s="67">
        <v>3343.65</v>
      </c>
      <c r="E7" s="67">
        <v>6875</v>
      </c>
      <c r="F7" s="67">
        <f>+intro!K393</f>
        <v>8190</v>
      </c>
    </row>
    <row r="8" spans="1:6" x14ac:dyDescent="0.2">
      <c r="A8" s="18" t="s">
        <v>1213</v>
      </c>
      <c r="B8" s="253" t="s">
        <v>1746</v>
      </c>
      <c r="C8" s="12">
        <v>5270.08</v>
      </c>
      <c r="D8" s="63">
        <v>11839.71</v>
      </c>
      <c r="E8" s="63">
        <v>3000</v>
      </c>
      <c r="F8" s="63">
        <v>2000</v>
      </c>
    </row>
    <row r="9" spans="1:6" x14ac:dyDescent="0.2">
      <c r="A9" s="18"/>
      <c r="B9" s="6" t="s">
        <v>1099</v>
      </c>
      <c r="C9" s="15">
        <f t="shared" ref="C9:F9" si="0">SUM(C6:C8)</f>
        <v>511363.07</v>
      </c>
      <c r="D9" s="15">
        <f t="shared" si="0"/>
        <v>121797.12</v>
      </c>
      <c r="E9" s="15">
        <f t="shared" si="0"/>
        <v>261215</v>
      </c>
      <c r="F9" s="15">
        <f t="shared" si="0"/>
        <v>281584.46488671826</v>
      </c>
    </row>
    <row r="10" spans="1:6" x14ac:dyDescent="0.2">
      <c r="A10" s="37">
        <v>710.4</v>
      </c>
      <c r="B10" s="4" t="s">
        <v>1829</v>
      </c>
      <c r="C10" s="15"/>
      <c r="D10" s="15"/>
      <c r="E10" s="15"/>
      <c r="F10" s="15"/>
    </row>
    <row r="11" spans="1:6" x14ac:dyDescent="0.2">
      <c r="A11" s="37" t="s">
        <v>2308</v>
      </c>
      <c r="B11" s="253" t="s">
        <v>1886</v>
      </c>
      <c r="C11" s="82">
        <v>0</v>
      </c>
      <c r="D11" s="82">
        <v>178500</v>
      </c>
      <c r="E11" s="63">
        <v>260000</v>
      </c>
      <c r="F11" s="82">
        <v>0</v>
      </c>
    </row>
    <row r="12" spans="1:6" x14ac:dyDescent="0.2">
      <c r="A12" s="37"/>
      <c r="B12" s="6" t="s">
        <v>1099</v>
      </c>
      <c r="C12" s="263">
        <f t="shared" ref="C12:F12" si="1">+C11</f>
        <v>0</v>
      </c>
      <c r="D12" s="263">
        <f t="shared" si="1"/>
        <v>178500</v>
      </c>
      <c r="E12" s="263">
        <f t="shared" si="1"/>
        <v>260000</v>
      </c>
      <c r="F12" s="263">
        <f t="shared" si="1"/>
        <v>0</v>
      </c>
    </row>
    <row r="13" spans="1:6" x14ac:dyDescent="0.2">
      <c r="A13" s="37"/>
      <c r="B13" s="6"/>
      <c r="C13" s="16"/>
      <c r="D13" s="16"/>
      <c r="E13" s="16"/>
      <c r="F13" s="16"/>
    </row>
    <row r="14" spans="1:6" ht="13.5" thickBot="1" x14ac:dyDescent="0.25">
      <c r="A14" s="18"/>
      <c r="B14" s="6" t="s">
        <v>129</v>
      </c>
      <c r="C14" s="272">
        <f t="shared" ref="C14:F14" si="2">+C12+C9</f>
        <v>511363.07</v>
      </c>
      <c r="D14" s="272">
        <f t="shared" si="2"/>
        <v>300297.12</v>
      </c>
      <c r="E14" s="272">
        <f t="shared" si="2"/>
        <v>521215</v>
      </c>
      <c r="F14" s="272">
        <f t="shared" si="2"/>
        <v>281584.46488671826</v>
      </c>
    </row>
    <row r="15" spans="1:6" ht="13.5" thickTop="1" x14ac:dyDescent="0.2">
      <c r="A15" s="18" t="s">
        <v>1410</v>
      </c>
    </row>
    <row r="16" spans="1:6" x14ac:dyDescent="0.2">
      <c r="A16" s="18"/>
      <c r="B16" s="4" t="s">
        <v>844</v>
      </c>
    </row>
    <row r="17" spans="1:6" x14ac:dyDescent="0.2">
      <c r="A17" s="18" t="s">
        <v>1519</v>
      </c>
      <c r="B17" s="253" t="s">
        <v>2271</v>
      </c>
      <c r="C17" s="27">
        <v>280367.45</v>
      </c>
      <c r="D17" s="74">
        <v>457606.19</v>
      </c>
      <c r="E17" s="74">
        <v>240000</v>
      </c>
      <c r="F17" s="74">
        <v>190000</v>
      </c>
    </row>
    <row r="18" spans="1:6" x14ac:dyDescent="0.2">
      <c r="A18" s="18" t="s">
        <v>1520</v>
      </c>
      <c r="B18" s="253" t="s">
        <v>2272</v>
      </c>
      <c r="C18" s="25">
        <v>18396.53</v>
      </c>
      <c r="D18" s="82">
        <v>32823.480000000003</v>
      </c>
      <c r="E18" s="82">
        <v>20000</v>
      </c>
      <c r="F18" s="82">
        <v>20000</v>
      </c>
    </row>
    <row r="19" spans="1:6" x14ac:dyDescent="0.2">
      <c r="A19" s="18" t="s">
        <v>634</v>
      </c>
      <c r="B19" s="253" t="s">
        <v>2273</v>
      </c>
      <c r="C19" s="10">
        <v>0</v>
      </c>
      <c r="D19" s="67">
        <v>0</v>
      </c>
      <c r="E19" s="67">
        <v>0</v>
      </c>
      <c r="F19" s="67">
        <v>0</v>
      </c>
    </row>
    <row r="20" spans="1:6" x14ac:dyDescent="0.2">
      <c r="A20" s="79" t="s">
        <v>396</v>
      </c>
      <c r="B20" s="262" t="s">
        <v>2154</v>
      </c>
      <c r="C20" s="10">
        <v>0</v>
      </c>
      <c r="D20" s="67">
        <v>0</v>
      </c>
      <c r="E20" s="67">
        <v>160000</v>
      </c>
      <c r="F20" s="67">
        <v>0</v>
      </c>
    </row>
    <row r="21" spans="1:6" x14ac:dyDescent="0.2">
      <c r="A21" s="79" t="s">
        <v>1655</v>
      </c>
      <c r="B21" s="262" t="s">
        <v>2274</v>
      </c>
      <c r="C21" s="10">
        <v>0</v>
      </c>
      <c r="D21" s="67">
        <v>0</v>
      </c>
      <c r="E21" s="67">
        <v>0</v>
      </c>
      <c r="F21" s="67">
        <v>0</v>
      </c>
    </row>
    <row r="22" spans="1:6" x14ac:dyDescent="0.2">
      <c r="A22" s="18" t="s">
        <v>1521</v>
      </c>
      <c r="B22" s="253" t="s">
        <v>2275</v>
      </c>
      <c r="C22" s="10">
        <v>0</v>
      </c>
      <c r="D22" s="67">
        <v>0</v>
      </c>
      <c r="E22" s="67">
        <v>100000</v>
      </c>
      <c r="F22" s="67">
        <v>50000</v>
      </c>
    </row>
    <row r="23" spans="1:6" x14ac:dyDescent="0.2">
      <c r="A23" s="18" t="s">
        <v>1522</v>
      </c>
      <c r="B23" s="253" t="s">
        <v>2276</v>
      </c>
      <c r="C23" s="10">
        <v>0</v>
      </c>
      <c r="D23" s="67">
        <v>0</v>
      </c>
      <c r="E23" s="67">
        <v>0</v>
      </c>
      <c r="F23" s="67">
        <v>20000</v>
      </c>
    </row>
    <row r="24" spans="1:6" x14ac:dyDescent="0.2">
      <c r="A24" s="18" t="s">
        <v>1731</v>
      </c>
      <c r="B24" s="253" t="s">
        <v>2277</v>
      </c>
      <c r="C24" s="10">
        <v>18880</v>
      </c>
      <c r="D24" s="67">
        <v>16150</v>
      </c>
      <c r="E24" s="67">
        <v>0</v>
      </c>
      <c r="F24" s="67">
        <v>0</v>
      </c>
    </row>
    <row r="25" spans="1:6" ht="13.5" thickBot="1" x14ac:dyDescent="0.25">
      <c r="A25" s="18"/>
      <c r="B25" s="6" t="s">
        <v>1319</v>
      </c>
      <c r="C25" s="78">
        <f>SUM(C17:C24)</f>
        <v>317643.98</v>
      </c>
      <c r="D25" s="78">
        <f>SUM(D17:D24)</f>
        <v>506579.67</v>
      </c>
      <c r="E25" s="78">
        <f>SUM(E17:E24)</f>
        <v>520000</v>
      </c>
      <c r="F25" s="78">
        <f>SUM(F17:F24)</f>
        <v>280000</v>
      </c>
    </row>
    <row r="26" spans="1:6" ht="13.5" thickTop="1" x14ac:dyDescent="0.2">
      <c r="A26" s="18"/>
      <c r="B26" s="6"/>
      <c r="C26" s="15"/>
      <c r="D26" s="72"/>
      <c r="E26" s="72"/>
      <c r="F26" s="72"/>
    </row>
    <row r="27" spans="1:6" x14ac:dyDescent="0.2">
      <c r="A27" s="18"/>
      <c r="B27" s="4" t="s">
        <v>638</v>
      </c>
      <c r="C27" s="15"/>
      <c r="D27" s="72"/>
      <c r="E27" s="72"/>
      <c r="F27" s="72"/>
    </row>
    <row r="28" spans="1:6" x14ac:dyDescent="0.2">
      <c r="A28" s="18"/>
      <c r="B28" s="4" t="s">
        <v>1523</v>
      </c>
      <c r="C28" s="15"/>
      <c r="D28" s="72"/>
      <c r="E28" s="72"/>
      <c r="F28" s="72"/>
    </row>
    <row r="29" spans="1:6" x14ac:dyDescent="0.2">
      <c r="A29" s="18" t="s">
        <v>1410</v>
      </c>
      <c r="B29" s="38" t="s">
        <v>1321</v>
      </c>
      <c r="C29" s="15"/>
      <c r="D29" s="72"/>
      <c r="E29" s="72"/>
      <c r="F29" s="72"/>
    </row>
    <row r="30" spans="1:6" x14ac:dyDescent="0.2">
      <c r="A30" s="18"/>
      <c r="C30" s="7" t="str">
        <f>+C4</f>
        <v>2018 ACTUAL</v>
      </c>
      <c r="D30" s="7" t="str">
        <f>+D4</f>
        <v>2019 ACTUAL</v>
      </c>
      <c r="E30" s="7" t="str">
        <f>+E4</f>
        <v>2020 BUDGET</v>
      </c>
      <c r="F30" s="7" t="str">
        <f>+F4</f>
        <v>2021 BUDGET</v>
      </c>
    </row>
    <row r="31" spans="1:6" x14ac:dyDescent="0.2">
      <c r="A31" s="18" t="s">
        <v>1410</v>
      </c>
      <c r="C31" s="1"/>
      <c r="D31" s="75"/>
      <c r="E31" s="75"/>
      <c r="F31" s="75"/>
    </row>
    <row r="32" spans="1:6" x14ac:dyDescent="0.2">
      <c r="A32" s="18"/>
      <c r="B32" t="s">
        <v>1322</v>
      </c>
      <c r="C32" s="8">
        <v>217496.8</v>
      </c>
      <c r="D32" s="66">
        <f>C40</f>
        <v>411215.89</v>
      </c>
      <c r="E32" s="66">
        <f>D40</f>
        <v>204933.34000000003</v>
      </c>
      <c r="F32" s="66">
        <f>E40</f>
        <v>206148.34000000008</v>
      </c>
    </row>
    <row r="33" spans="1:6" x14ac:dyDescent="0.2">
      <c r="A33" s="18"/>
      <c r="C33" s="10"/>
      <c r="D33" s="67"/>
      <c r="E33" s="67"/>
      <c r="F33" s="67"/>
    </row>
    <row r="34" spans="1:6" x14ac:dyDescent="0.2">
      <c r="A34" s="18"/>
      <c r="B34" t="s">
        <v>106</v>
      </c>
      <c r="C34" s="10">
        <f>C14</f>
        <v>511363.07</v>
      </c>
      <c r="D34" s="67">
        <f>D14</f>
        <v>300297.12</v>
      </c>
      <c r="E34" s="67">
        <f>E14</f>
        <v>521215</v>
      </c>
      <c r="F34" s="67">
        <f>F14</f>
        <v>281584.46488671826</v>
      </c>
    </row>
    <row r="35" spans="1:6" x14ac:dyDescent="0.2">
      <c r="A35" s="18"/>
      <c r="C35" s="10"/>
      <c r="D35" s="67"/>
      <c r="E35" s="67"/>
      <c r="F35" s="67"/>
    </row>
    <row r="36" spans="1:6" x14ac:dyDescent="0.2">
      <c r="B36" t="s">
        <v>1404</v>
      </c>
      <c r="C36" s="16">
        <f>C25</f>
        <v>317643.98</v>
      </c>
      <c r="D36" s="54">
        <f>D25</f>
        <v>506579.67</v>
      </c>
      <c r="E36" s="54">
        <f>E25</f>
        <v>520000</v>
      </c>
      <c r="F36" s="54">
        <f>F25</f>
        <v>280000</v>
      </c>
    </row>
    <row r="37" spans="1:6" x14ac:dyDescent="0.2">
      <c r="C37" s="46"/>
      <c r="D37" s="115"/>
      <c r="E37" s="115"/>
      <c r="F37" s="115"/>
    </row>
    <row r="38" spans="1:6" x14ac:dyDescent="0.2">
      <c r="B38" t="s">
        <v>150</v>
      </c>
      <c r="C38" s="12">
        <v>0</v>
      </c>
      <c r="D38" s="63">
        <v>0</v>
      </c>
      <c r="E38" s="63">
        <v>0</v>
      </c>
      <c r="F38" s="63">
        <v>0</v>
      </c>
    </row>
    <row r="40" spans="1:6" ht="13.5" thickBot="1" x14ac:dyDescent="0.25">
      <c r="B40" t="s">
        <v>1326</v>
      </c>
      <c r="C40" s="17">
        <f>C32+C34-C36+C38</f>
        <v>411215.89</v>
      </c>
      <c r="D40" s="71">
        <f>D32+D34-D36+D38</f>
        <v>204933.34000000003</v>
      </c>
      <c r="E40" s="71">
        <f>E32+E34-E36+E38</f>
        <v>206148.34000000008</v>
      </c>
      <c r="F40" s="71">
        <f>F32+F34-F36+F38</f>
        <v>207732.80488671834</v>
      </c>
    </row>
    <row r="41" spans="1:6" ht="13.5" thickTop="1" x14ac:dyDescent="0.2"/>
    <row r="42" spans="1:6" x14ac:dyDescent="0.2">
      <c r="C42" s="10"/>
    </row>
    <row r="132" spans="3:6" x14ac:dyDescent="0.2">
      <c r="C132" s="9"/>
      <c r="D132" s="81"/>
      <c r="E132" s="81"/>
      <c r="F132" s="81"/>
    </row>
  </sheetData>
  <phoneticPr fontId="2" type="noConversion"/>
  <pageMargins left="0.5" right="0.5" top="1" bottom="1" header="0.5" footer="0.5"/>
  <pageSetup scale="85" firstPageNumber="58" orientation="portrait" useFirstPageNumber="1" r:id="rId1"/>
  <headerFooter alignWithMargins="0"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H134"/>
  <sheetViews>
    <sheetView zoomScaleNormal="100" workbookViewId="0"/>
  </sheetViews>
  <sheetFormatPr defaultRowHeight="12.75" x14ac:dyDescent="0.2"/>
  <cols>
    <col min="1" max="1" width="14.85546875" bestFit="1" customWidth="1"/>
    <col min="2" max="2" width="37.85546875" customWidth="1"/>
    <col min="3" max="6" width="14.28515625" customWidth="1"/>
    <col min="7" max="7" width="16.85546875" style="21" customWidth="1"/>
    <col min="8" max="8" width="16.28515625" style="21" customWidth="1"/>
  </cols>
  <sheetData>
    <row r="1" spans="1:8" x14ac:dyDescent="0.2">
      <c r="A1" t="s">
        <v>1410</v>
      </c>
      <c r="B1" s="4" t="s">
        <v>638</v>
      </c>
      <c r="C1" s="1"/>
      <c r="D1" s="1"/>
      <c r="E1" s="1"/>
      <c r="F1" s="1"/>
      <c r="G1" s="55"/>
      <c r="H1" s="55"/>
    </row>
    <row r="2" spans="1:8" x14ac:dyDescent="0.2">
      <c r="B2" s="4" t="s">
        <v>1524</v>
      </c>
      <c r="C2" s="1"/>
      <c r="D2" s="1"/>
      <c r="E2" s="1"/>
      <c r="F2" s="1"/>
      <c r="G2" s="55"/>
      <c r="H2" s="55"/>
    </row>
    <row r="3" spans="1:8" x14ac:dyDescent="0.2">
      <c r="B3" s="4"/>
      <c r="C3" s="1"/>
      <c r="D3" s="1"/>
      <c r="E3" s="1"/>
      <c r="F3" s="1"/>
      <c r="G3" s="55"/>
      <c r="H3" s="55"/>
    </row>
    <row r="4" spans="1:8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  <c r="G4" s="55"/>
      <c r="H4" s="55"/>
    </row>
    <row r="5" spans="1:8" x14ac:dyDescent="0.2">
      <c r="B5" s="4" t="s">
        <v>299</v>
      </c>
    </row>
    <row r="6" spans="1:8" x14ac:dyDescent="0.2">
      <c r="A6" t="s">
        <v>1214</v>
      </c>
      <c r="B6" s="254" t="s">
        <v>1831</v>
      </c>
      <c r="C6" s="47">
        <v>0</v>
      </c>
      <c r="D6" s="47">
        <v>0</v>
      </c>
      <c r="E6" s="47">
        <v>0</v>
      </c>
      <c r="F6" s="47">
        <v>0</v>
      </c>
      <c r="G6" s="64"/>
      <c r="H6" s="64"/>
    </row>
    <row r="7" spans="1:8" x14ac:dyDescent="0.2">
      <c r="A7" t="s">
        <v>1215</v>
      </c>
      <c r="B7" s="254" t="s">
        <v>1832</v>
      </c>
      <c r="C7" s="48">
        <v>0</v>
      </c>
      <c r="D7" s="48">
        <v>0</v>
      </c>
      <c r="E7" s="48">
        <v>0</v>
      </c>
      <c r="F7" s="48">
        <v>0</v>
      </c>
      <c r="G7" s="65"/>
      <c r="H7" s="65"/>
    </row>
    <row r="8" spans="1:8" x14ac:dyDescent="0.2">
      <c r="A8" t="s">
        <v>1216</v>
      </c>
      <c r="B8" s="253" t="s">
        <v>2278</v>
      </c>
      <c r="C8" s="10">
        <v>0</v>
      </c>
      <c r="D8" s="10">
        <v>0</v>
      </c>
      <c r="E8" s="10">
        <v>0</v>
      </c>
      <c r="F8" s="10">
        <v>0</v>
      </c>
      <c r="G8" s="16"/>
      <c r="H8" s="16"/>
    </row>
    <row r="9" spans="1:8" x14ac:dyDescent="0.2">
      <c r="A9" t="s">
        <v>1217</v>
      </c>
      <c r="B9" s="253" t="s">
        <v>1746</v>
      </c>
      <c r="C9" s="29">
        <v>1.1200000000000001</v>
      </c>
      <c r="D9" s="29">
        <v>1.5</v>
      </c>
      <c r="E9" s="29">
        <v>0</v>
      </c>
      <c r="F9" s="29">
        <v>0</v>
      </c>
      <c r="G9" s="41"/>
      <c r="H9" s="41"/>
    </row>
    <row r="10" spans="1:8" ht="13.5" thickBot="1" x14ac:dyDescent="0.25">
      <c r="B10" s="6" t="s">
        <v>129</v>
      </c>
      <c r="C10" s="14">
        <f>SUM(C6:C9)</f>
        <v>1.1200000000000001</v>
      </c>
      <c r="D10" s="14">
        <f>SUM(D6:D9)</f>
        <v>1.5</v>
      </c>
      <c r="E10" s="14">
        <f>SUM(E6:E9)</f>
        <v>0</v>
      </c>
      <c r="F10" s="14">
        <f>SUM(F6:F9)</f>
        <v>0</v>
      </c>
      <c r="G10" s="15"/>
      <c r="H10" s="15"/>
    </row>
    <row r="11" spans="1:8" ht="13.5" thickTop="1" x14ac:dyDescent="0.2"/>
    <row r="12" spans="1:8" x14ac:dyDescent="0.2">
      <c r="A12" s="39"/>
      <c r="B12" s="4" t="s">
        <v>844</v>
      </c>
    </row>
    <row r="13" spans="1:8" x14ac:dyDescent="0.2">
      <c r="A13" s="264">
        <v>720.4</v>
      </c>
      <c r="B13" s="4" t="s">
        <v>1829</v>
      </c>
      <c r="C13" s="72"/>
      <c r="D13" s="54"/>
      <c r="E13" s="72"/>
      <c r="F13" s="72"/>
      <c r="G13"/>
      <c r="H13"/>
    </row>
    <row r="14" spans="1:8" x14ac:dyDescent="0.2">
      <c r="A14" s="268" t="s">
        <v>2309</v>
      </c>
      <c r="B14" s="254" t="s">
        <v>1887</v>
      </c>
      <c r="C14" s="82">
        <v>0</v>
      </c>
      <c r="D14" s="82">
        <v>3.53</v>
      </c>
      <c r="E14" s="63">
        <v>0</v>
      </c>
      <c r="F14" s="82">
        <v>0</v>
      </c>
      <c r="G14"/>
      <c r="H14"/>
    </row>
    <row r="15" spans="1:8" x14ac:dyDescent="0.2">
      <c r="A15" s="37"/>
      <c r="B15" s="6" t="s">
        <v>1099</v>
      </c>
      <c r="C15" s="263">
        <f t="shared" ref="C15:F15" si="0">+C14</f>
        <v>0</v>
      </c>
      <c r="D15" s="263">
        <f t="shared" si="0"/>
        <v>3.53</v>
      </c>
      <c r="E15" s="263">
        <f t="shared" si="0"/>
        <v>0</v>
      </c>
      <c r="F15" s="263">
        <f t="shared" si="0"/>
        <v>0</v>
      </c>
      <c r="G15"/>
      <c r="H15"/>
    </row>
    <row r="16" spans="1:8" x14ac:dyDescent="0.2">
      <c r="A16" s="37"/>
      <c r="B16" s="6"/>
      <c r="C16" s="16"/>
      <c r="D16" s="16"/>
      <c r="E16" s="16"/>
      <c r="F16" s="16"/>
      <c r="G16"/>
      <c r="H16"/>
    </row>
    <row r="17" spans="1:8" x14ac:dyDescent="0.2">
      <c r="A17" t="s">
        <v>1525</v>
      </c>
      <c r="B17" s="253" t="s">
        <v>2279</v>
      </c>
      <c r="C17" s="8">
        <v>0</v>
      </c>
      <c r="D17" s="8">
        <v>0</v>
      </c>
      <c r="E17" s="8">
        <v>0</v>
      </c>
      <c r="F17" s="8">
        <v>0</v>
      </c>
      <c r="G17" s="15"/>
      <c r="H17" s="15"/>
    </row>
    <row r="18" spans="1:8" x14ac:dyDescent="0.2">
      <c r="A18" t="s">
        <v>1526</v>
      </c>
      <c r="B18" s="253" t="s">
        <v>2280</v>
      </c>
      <c r="C18" s="12">
        <v>0</v>
      </c>
      <c r="D18" s="12">
        <v>0</v>
      </c>
      <c r="E18" s="12">
        <v>0</v>
      </c>
      <c r="F18" s="12">
        <v>0</v>
      </c>
      <c r="G18" s="16"/>
      <c r="H18" s="16"/>
    </row>
    <row r="19" spans="1:8" x14ac:dyDescent="0.2">
      <c r="A19" s="37"/>
      <c r="B19" s="6" t="s">
        <v>1099</v>
      </c>
      <c r="C19" s="263">
        <f t="shared" ref="C19:F19" si="1">+C18+C17</f>
        <v>0</v>
      </c>
      <c r="D19" s="263">
        <f t="shared" si="1"/>
        <v>0</v>
      </c>
      <c r="E19" s="263">
        <f t="shared" si="1"/>
        <v>0</v>
      </c>
      <c r="F19" s="263">
        <f t="shared" si="1"/>
        <v>0</v>
      </c>
      <c r="G19"/>
      <c r="H19"/>
    </row>
    <row r="20" spans="1:8" x14ac:dyDescent="0.2">
      <c r="A20" s="37"/>
      <c r="B20" s="6"/>
      <c r="C20" s="12"/>
      <c r="D20" s="12"/>
      <c r="E20" s="12"/>
      <c r="F20" s="12"/>
      <c r="G20"/>
      <c r="H20"/>
    </row>
    <row r="21" spans="1:8" ht="13.5" thickBot="1" x14ac:dyDescent="0.25">
      <c r="B21" s="6" t="s">
        <v>1319</v>
      </c>
      <c r="C21" s="273">
        <f t="shared" ref="C21:F21" si="2">+C19+C15</f>
        <v>0</v>
      </c>
      <c r="D21" s="273">
        <f t="shared" si="2"/>
        <v>3.53</v>
      </c>
      <c r="E21" s="273">
        <f t="shared" si="2"/>
        <v>0</v>
      </c>
      <c r="F21" s="273">
        <f t="shared" si="2"/>
        <v>0</v>
      </c>
      <c r="G21" s="15"/>
      <c r="H21" s="15"/>
    </row>
    <row r="22" spans="1:8" ht="13.5" thickTop="1" x14ac:dyDescent="0.2">
      <c r="B22" s="6"/>
      <c r="C22" s="45"/>
      <c r="D22" s="45"/>
      <c r="E22" s="45"/>
      <c r="F22" s="45"/>
      <c r="G22" s="45"/>
      <c r="H22" s="45"/>
    </row>
    <row r="23" spans="1:8" x14ac:dyDescent="0.2">
      <c r="B23" s="4" t="s">
        <v>638</v>
      </c>
      <c r="C23" s="45"/>
      <c r="D23" s="45"/>
      <c r="E23" s="45"/>
      <c r="F23" s="45"/>
      <c r="G23" s="45"/>
      <c r="H23" s="45"/>
    </row>
    <row r="24" spans="1:8" x14ac:dyDescent="0.2">
      <c r="B24" s="4" t="s">
        <v>1524</v>
      </c>
      <c r="C24" s="45"/>
      <c r="D24" s="45"/>
      <c r="E24" s="45"/>
      <c r="F24" s="45"/>
      <c r="G24" s="45"/>
      <c r="H24" s="45"/>
    </row>
    <row r="25" spans="1:8" x14ac:dyDescent="0.2">
      <c r="B25" s="4" t="s">
        <v>1321</v>
      </c>
    </row>
    <row r="26" spans="1:8" x14ac:dyDescent="0.2">
      <c r="C26" s="7" t="str">
        <f>+C4</f>
        <v>2018 ACTUAL</v>
      </c>
      <c r="D26" s="7" t="str">
        <f>+D4</f>
        <v>2019 ACTUAL</v>
      </c>
      <c r="E26" s="7" t="str">
        <f>+E4</f>
        <v>2020 BUDGET</v>
      </c>
      <c r="F26" s="7" t="str">
        <f>+F4</f>
        <v>2021 BUDGET</v>
      </c>
      <c r="G26" s="55"/>
      <c r="H26" s="55"/>
    </row>
    <row r="27" spans="1:8" x14ac:dyDescent="0.2">
      <c r="C27" s="1"/>
      <c r="D27" s="1"/>
      <c r="E27" s="1"/>
      <c r="F27" s="1"/>
      <c r="G27" s="55"/>
      <c r="H27" s="55"/>
    </row>
    <row r="28" spans="1:8" x14ac:dyDescent="0.2">
      <c r="B28" t="s">
        <v>1322</v>
      </c>
      <c r="C28" s="8">
        <v>0.91</v>
      </c>
      <c r="D28" s="8">
        <f>C36</f>
        <v>2.0300000000000002</v>
      </c>
      <c r="E28" s="8">
        <f>D36</f>
        <v>4.4408920985006262E-16</v>
      </c>
      <c r="F28" s="8">
        <f>E36</f>
        <v>4.4408920985006262E-16</v>
      </c>
      <c r="G28" s="15"/>
      <c r="H28" s="15"/>
    </row>
    <row r="29" spans="1:8" x14ac:dyDescent="0.2">
      <c r="C29" s="10"/>
      <c r="D29" s="10"/>
      <c r="E29" s="10"/>
      <c r="F29" s="10"/>
      <c r="G29" s="16"/>
      <c r="H29" s="16"/>
    </row>
    <row r="30" spans="1:8" x14ac:dyDescent="0.2">
      <c r="B30" t="s">
        <v>106</v>
      </c>
      <c r="C30" s="10">
        <f>C10</f>
        <v>1.1200000000000001</v>
      </c>
      <c r="D30" s="10">
        <f>D10</f>
        <v>1.5</v>
      </c>
      <c r="E30" s="10">
        <f>E10</f>
        <v>0</v>
      </c>
      <c r="F30" s="10">
        <f>F10</f>
        <v>0</v>
      </c>
      <c r="G30" s="16"/>
      <c r="H30" s="16"/>
    </row>
    <row r="31" spans="1:8" x14ac:dyDescent="0.2">
      <c r="A31" t="s">
        <v>1410</v>
      </c>
      <c r="C31" s="10"/>
      <c r="D31" s="10"/>
      <c r="E31" s="10"/>
      <c r="F31" s="10"/>
      <c r="G31" s="16"/>
      <c r="H31" s="16"/>
    </row>
    <row r="32" spans="1:8" x14ac:dyDescent="0.2">
      <c r="B32" t="s">
        <v>1404</v>
      </c>
      <c r="C32" s="16">
        <f>C21</f>
        <v>0</v>
      </c>
      <c r="D32" s="16">
        <f>D21</f>
        <v>3.53</v>
      </c>
      <c r="E32" s="16">
        <f>E21</f>
        <v>0</v>
      </c>
      <c r="F32" s="16">
        <f>F21</f>
        <v>0</v>
      </c>
      <c r="G32" s="16"/>
      <c r="H32" s="16"/>
    </row>
    <row r="33" spans="1:8" x14ac:dyDescent="0.2">
      <c r="A33" t="s">
        <v>1410</v>
      </c>
      <c r="C33" s="16"/>
      <c r="D33" s="16"/>
      <c r="E33" s="16"/>
      <c r="F33" s="16"/>
      <c r="G33" s="16"/>
      <c r="H33" s="16"/>
    </row>
    <row r="34" spans="1:8" x14ac:dyDescent="0.2">
      <c r="B34" t="s">
        <v>150</v>
      </c>
      <c r="C34" s="16">
        <v>0</v>
      </c>
      <c r="D34" s="16">
        <v>0</v>
      </c>
      <c r="E34" s="16">
        <v>0</v>
      </c>
      <c r="F34" s="16">
        <v>0</v>
      </c>
      <c r="G34" s="16"/>
      <c r="H34" s="16"/>
    </row>
    <row r="35" spans="1:8" x14ac:dyDescent="0.2">
      <c r="C35" s="49"/>
      <c r="D35" s="49"/>
      <c r="E35" s="49"/>
      <c r="F35" s="49"/>
    </row>
    <row r="36" spans="1:8" ht="13.5" thickBot="1" x14ac:dyDescent="0.25">
      <c r="B36" t="s">
        <v>1326</v>
      </c>
      <c r="C36" s="17">
        <f>C28+C30-C32+C34</f>
        <v>2.0300000000000002</v>
      </c>
      <c r="D36" s="17">
        <f>D28+D30-D32+D34</f>
        <v>4.4408920985006262E-16</v>
      </c>
      <c r="E36" s="17">
        <f>E28+E30-E32+E34</f>
        <v>4.4408920985006262E-16</v>
      </c>
      <c r="F36" s="17">
        <f>F28+F30-F32+F34</f>
        <v>4.4408920985006262E-16</v>
      </c>
      <c r="G36" s="15"/>
      <c r="H36" s="15"/>
    </row>
    <row r="37" spans="1:8" ht="13.5" thickTop="1" x14ac:dyDescent="0.2"/>
    <row r="134" spans="3:8" x14ac:dyDescent="0.2">
      <c r="C134" s="9"/>
      <c r="D134" s="9"/>
      <c r="E134" s="9"/>
      <c r="F134" s="9"/>
      <c r="H134" s="30"/>
    </row>
  </sheetData>
  <phoneticPr fontId="2" type="noConversion"/>
  <pageMargins left="0.5" right="0.5" top="1" bottom="1" header="0.5" footer="0.5"/>
  <pageSetup scale="85" firstPageNumber="59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51"/>
  <sheetViews>
    <sheetView zoomScaleNormal="100" workbookViewId="0"/>
  </sheetViews>
  <sheetFormatPr defaultRowHeight="12.75" x14ac:dyDescent="0.2"/>
  <cols>
    <col min="1" max="1" width="14.85546875" bestFit="1" customWidth="1"/>
    <col min="2" max="2" width="39.28515625" customWidth="1"/>
    <col min="3" max="3" width="13.7109375" customWidth="1"/>
    <col min="4" max="4" width="14.140625" style="62" bestFit="1" customWidth="1"/>
    <col min="5" max="6" width="13.7109375" style="62" customWidth="1"/>
  </cols>
  <sheetData>
    <row r="1" spans="1:6" x14ac:dyDescent="0.2">
      <c r="A1" t="s">
        <v>1410</v>
      </c>
      <c r="B1" s="4" t="s">
        <v>1320</v>
      </c>
      <c r="C1" s="1" t="s">
        <v>1327</v>
      </c>
      <c r="D1" s="75" t="s">
        <v>1327</v>
      </c>
      <c r="E1" s="75" t="s">
        <v>1327</v>
      </c>
      <c r="F1" s="75" t="s">
        <v>1327</v>
      </c>
    </row>
    <row r="2" spans="1:6" x14ac:dyDescent="0.2">
      <c r="B2" s="4" t="s">
        <v>509</v>
      </c>
      <c r="C2" s="1" t="s">
        <v>1410</v>
      </c>
      <c r="D2" s="75" t="s">
        <v>1410</v>
      </c>
      <c r="E2" s="75" t="s">
        <v>1410</v>
      </c>
      <c r="F2" s="75" t="s">
        <v>1410</v>
      </c>
    </row>
    <row r="3" spans="1:6" x14ac:dyDescent="0.2">
      <c r="C3" s="1" t="s">
        <v>1410</v>
      </c>
      <c r="D3" s="75" t="s">
        <v>1410</v>
      </c>
      <c r="E3" s="75" t="s">
        <v>1410</v>
      </c>
      <c r="F3" s="75" t="s">
        <v>1410</v>
      </c>
    </row>
    <row r="4" spans="1:6" x14ac:dyDescent="0.2">
      <c r="B4" s="4"/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6" x14ac:dyDescent="0.2">
      <c r="B5" s="4" t="s">
        <v>299</v>
      </c>
    </row>
    <row r="6" spans="1:6" ht="14.25" x14ac:dyDescent="0.2">
      <c r="A6" t="s">
        <v>1425</v>
      </c>
      <c r="B6" s="254" t="s">
        <v>1831</v>
      </c>
      <c r="C6" s="80">
        <v>197527.58</v>
      </c>
      <c r="D6" s="34">
        <v>187640.23</v>
      </c>
      <c r="E6" s="157">
        <v>201072</v>
      </c>
      <c r="F6" s="157">
        <f>intro!H378</f>
        <v>222682.63785576884</v>
      </c>
    </row>
    <row r="7" spans="1:6" x14ac:dyDescent="0.2">
      <c r="A7" t="s">
        <v>1426</v>
      </c>
      <c r="B7" s="254" t="s">
        <v>1832</v>
      </c>
      <c r="C7" s="54">
        <v>8819.3700000000008</v>
      </c>
      <c r="D7" s="54">
        <v>5884.81</v>
      </c>
      <c r="E7" s="54">
        <v>5720</v>
      </c>
      <c r="F7" s="54">
        <v>5720</v>
      </c>
    </row>
    <row r="8" spans="1:6" x14ac:dyDescent="0.2">
      <c r="A8" t="s">
        <v>1427</v>
      </c>
      <c r="B8" s="254" t="s">
        <v>2050</v>
      </c>
      <c r="C8" s="54">
        <v>9316</v>
      </c>
      <c r="D8" s="54">
        <v>24072</v>
      </c>
      <c r="E8" s="54">
        <v>10000</v>
      </c>
      <c r="F8" s="54">
        <v>10000</v>
      </c>
    </row>
    <row r="9" spans="1:6" x14ac:dyDescent="0.2">
      <c r="A9" t="s">
        <v>1428</v>
      </c>
      <c r="B9" s="254" t="s">
        <v>2051</v>
      </c>
      <c r="C9" s="54">
        <v>5474.05</v>
      </c>
      <c r="D9" s="54">
        <v>6662.99</v>
      </c>
      <c r="E9" s="54">
        <v>5500</v>
      </c>
      <c r="F9" s="54">
        <v>5500</v>
      </c>
    </row>
    <row r="10" spans="1:6" x14ac:dyDescent="0.2">
      <c r="A10" t="s">
        <v>1429</v>
      </c>
      <c r="B10" s="254" t="s">
        <v>1746</v>
      </c>
      <c r="C10" s="67">
        <v>1477.7</v>
      </c>
      <c r="D10" s="67">
        <v>3308.17</v>
      </c>
      <c r="E10" s="67">
        <v>500</v>
      </c>
      <c r="F10" s="67">
        <v>500</v>
      </c>
    </row>
    <row r="11" spans="1:6" x14ac:dyDescent="0.2">
      <c r="A11" t="s">
        <v>1671</v>
      </c>
      <c r="B11" s="254" t="s">
        <v>2052</v>
      </c>
      <c r="C11" s="67">
        <v>0</v>
      </c>
      <c r="D11" s="67">
        <v>0</v>
      </c>
      <c r="E11" s="67">
        <v>0</v>
      </c>
      <c r="F11" s="67">
        <v>0</v>
      </c>
    </row>
    <row r="12" spans="1:6" x14ac:dyDescent="0.2">
      <c r="A12" t="s">
        <v>1430</v>
      </c>
      <c r="B12" s="254" t="s">
        <v>1882</v>
      </c>
      <c r="C12" s="63">
        <v>0</v>
      </c>
      <c r="D12" s="63">
        <v>0</v>
      </c>
      <c r="E12" s="63">
        <v>0</v>
      </c>
      <c r="F12" s="63">
        <v>0</v>
      </c>
    </row>
    <row r="13" spans="1:6" ht="13.5" thickBot="1" x14ac:dyDescent="0.25">
      <c r="A13" t="s">
        <v>1410</v>
      </c>
      <c r="B13" s="6" t="s">
        <v>129</v>
      </c>
      <c r="C13" s="71">
        <f>SUM(C6:C12)</f>
        <v>222614.69999999998</v>
      </c>
      <c r="D13" s="71">
        <f>SUM(D6:D12)</f>
        <v>227568.2</v>
      </c>
      <c r="E13" s="71">
        <f>SUM(E6:E12)</f>
        <v>222792</v>
      </c>
      <c r="F13" s="71">
        <f>SUM(F6:F12)</f>
        <v>244402.63785576884</v>
      </c>
    </row>
    <row r="14" spans="1:6" ht="13.5" thickTop="1" x14ac:dyDescent="0.2">
      <c r="C14" s="62"/>
    </row>
    <row r="15" spans="1:6" x14ac:dyDescent="0.2">
      <c r="A15" t="s">
        <v>1410</v>
      </c>
      <c r="C15" s="62"/>
    </row>
    <row r="16" spans="1:6" x14ac:dyDescent="0.2">
      <c r="B16" s="4" t="s">
        <v>844</v>
      </c>
      <c r="C16" s="62"/>
    </row>
    <row r="17" spans="1:6" x14ac:dyDescent="0.2">
      <c r="A17" t="s">
        <v>510</v>
      </c>
      <c r="B17" s="254" t="s">
        <v>2053</v>
      </c>
      <c r="C17" s="66">
        <v>61500.92</v>
      </c>
      <c r="D17" s="66">
        <v>64575.94</v>
      </c>
      <c r="E17" s="66">
        <v>65376</v>
      </c>
      <c r="F17" s="66">
        <v>66576</v>
      </c>
    </row>
    <row r="18" spans="1:6" x14ac:dyDescent="0.2">
      <c r="A18" t="s">
        <v>511</v>
      </c>
      <c r="B18" s="254" t="s">
        <v>2054</v>
      </c>
      <c r="C18" s="67">
        <v>57865.08</v>
      </c>
      <c r="D18" s="67">
        <v>60758.1</v>
      </c>
      <c r="E18" s="67">
        <v>61558</v>
      </c>
      <c r="F18" s="67">
        <v>62758</v>
      </c>
    </row>
    <row r="19" spans="1:6" x14ac:dyDescent="0.2">
      <c r="A19" t="s">
        <v>401</v>
      </c>
      <c r="B19" s="254" t="s">
        <v>2055</v>
      </c>
      <c r="C19" s="67">
        <v>4100</v>
      </c>
      <c r="D19" s="67">
        <v>7894</v>
      </c>
      <c r="E19" s="67">
        <v>15000</v>
      </c>
      <c r="F19" s="67">
        <v>14000</v>
      </c>
    </row>
    <row r="20" spans="1:6" x14ac:dyDescent="0.2">
      <c r="A20" t="s">
        <v>512</v>
      </c>
      <c r="B20" s="254" t="s">
        <v>1893</v>
      </c>
      <c r="C20" s="67">
        <v>297.73</v>
      </c>
      <c r="D20" s="67">
        <v>588.54</v>
      </c>
      <c r="E20" s="67">
        <v>660</v>
      </c>
      <c r="F20" s="67">
        <v>900</v>
      </c>
    </row>
    <row r="21" spans="1:6" x14ac:dyDescent="0.2">
      <c r="A21" t="s">
        <v>513</v>
      </c>
      <c r="B21" s="254" t="s">
        <v>1895</v>
      </c>
      <c r="C21" s="67">
        <v>8317.06</v>
      </c>
      <c r="D21" s="67">
        <v>8702.11</v>
      </c>
      <c r="E21" s="67">
        <v>9761</v>
      </c>
      <c r="F21" s="67">
        <v>9963</v>
      </c>
    </row>
    <row r="22" spans="1:6" x14ac:dyDescent="0.2">
      <c r="A22" t="s">
        <v>514</v>
      </c>
      <c r="B22" s="254" t="s">
        <v>1896</v>
      </c>
      <c r="C22" s="67">
        <v>14013.82</v>
      </c>
      <c r="D22" s="67">
        <v>14940.58</v>
      </c>
      <c r="E22" s="67">
        <v>15694</v>
      </c>
      <c r="F22" s="67">
        <v>16201</v>
      </c>
    </row>
    <row r="23" spans="1:6" x14ac:dyDescent="0.2">
      <c r="A23" t="s">
        <v>515</v>
      </c>
      <c r="B23" s="254" t="s">
        <v>1897</v>
      </c>
      <c r="C23" s="67">
        <v>13920</v>
      </c>
      <c r="D23" s="67">
        <v>15530</v>
      </c>
      <c r="E23" s="67">
        <f>15600+156</f>
        <v>15756</v>
      </c>
      <c r="F23" s="67">
        <f>15600+156</f>
        <v>15756</v>
      </c>
    </row>
    <row r="24" spans="1:6" x14ac:dyDescent="0.2">
      <c r="A24" t="s">
        <v>516</v>
      </c>
      <c r="B24" s="254" t="s">
        <v>2056</v>
      </c>
      <c r="C24" s="67">
        <v>3330</v>
      </c>
      <c r="D24" s="67">
        <v>4290</v>
      </c>
      <c r="E24" s="67">
        <v>3500</v>
      </c>
      <c r="F24" s="67">
        <v>3800</v>
      </c>
    </row>
    <row r="25" spans="1:6" x14ac:dyDescent="0.2">
      <c r="A25" t="s">
        <v>517</v>
      </c>
      <c r="B25" s="254" t="s">
        <v>2057</v>
      </c>
      <c r="C25" s="67">
        <v>2490</v>
      </c>
      <c r="D25" s="67">
        <v>1840</v>
      </c>
      <c r="E25" s="67">
        <v>2500</v>
      </c>
      <c r="F25" s="67">
        <v>2500</v>
      </c>
    </row>
    <row r="26" spans="1:6" x14ac:dyDescent="0.2">
      <c r="A26" t="s">
        <v>518</v>
      </c>
      <c r="B26" s="254" t="s">
        <v>2058</v>
      </c>
      <c r="C26" s="67">
        <v>40374.71</v>
      </c>
      <c r="D26" s="67">
        <v>48661</v>
      </c>
      <c r="E26" s="67">
        <v>50000</v>
      </c>
      <c r="F26" s="67">
        <v>50000</v>
      </c>
    </row>
    <row r="27" spans="1:6" x14ac:dyDescent="0.2">
      <c r="A27" t="s">
        <v>519</v>
      </c>
      <c r="B27" s="254" t="s">
        <v>2059</v>
      </c>
      <c r="C27" s="67">
        <v>0</v>
      </c>
      <c r="D27" s="67">
        <v>0</v>
      </c>
      <c r="E27" s="67">
        <v>0</v>
      </c>
      <c r="F27" s="67">
        <v>0</v>
      </c>
    </row>
    <row r="28" spans="1:6" x14ac:dyDescent="0.2">
      <c r="A28" t="s">
        <v>520</v>
      </c>
      <c r="B28" s="254" t="s">
        <v>2060</v>
      </c>
      <c r="C28" s="34">
        <v>0</v>
      </c>
      <c r="D28" s="34">
        <v>0</v>
      </c>
      <c r="E28" s="34">
        <v>0</v>
      </c>
      <c r="F28" s="34">
        <v>0</v>
      </c>
    </row>
    <row r="29" spans="1:6" x14ac:dyDescent="0.2">
      <c r="A29" t="s">
        <v>1499</v>
      </c>
      <c r="B29" s="254" t="s">
        <v>2061</v>
      </c>
      <c r="C29" s="34">
        <v>130</v>
      </c>
      <c r="D29" s="34">
        <v>40</v>
      </c>
      <c r="E29" s="34">
        <v>500</v>
      </c>
      <c r="F29" s="34">
        <v>400</v>
      </c>
    </row>
    <row r="30" spans="1:6" x14ac:dyDescent="0.2">
      <c r="A30" t="s">
        <v>521</v>
      </c>
      <c r="B30" s="254" t="s">
        <v>1882</v>
      </c>
      <c r="C30" s="67">
        <v>0</v>
      </c>
      <c r="D30" s="67">
        <v>0</v>
      </c>
      <c r="E30" s="67">
        <v>0</v>
      </c>
      <c r="F30" s="67">
        <v>300</v>
      </c>
    </row>
    <row r="31" spans="1:6" x14ac:dyDescent="0.2">
      <c r="A31" t="s">
        <v>522</v>
      </c>
      <c r="B31" s="254" t="s">
        <v>1904</v>
      </c>
      <c r="C31" s="34">
        <v>0</v>
      </c>
      <c r="D31" s="34">
        <v>0</v>
      </c>
      <c r="E31" s="34">
        <v>0</v>
      </c>
      <c r="F31" s="34">
        <v>0</v>
      </c>
    </row>
    <row r="32" spans="1:6" ht="13.5" thickBot="1" x14ac:dyDescent="0.25">
      <c r="B32" s="6" t="s">
        <v>1319</v>
      </c>
      <c r="C32" s="78">
        <f>SUM(C17:C31)</f>
        <v>206339.32</v>
      </c>
      <c r="D32" s="78">
        <f>SUM(D17:D31)</f>
        <v>227820.27</v>
      </c>
      <c r="E32" s="78">
        <f>SUM(E17:E31)</f>
        <v>240305</v>
      </c>
      <c r="F32" s="78">
        <f>SUM(F17:F31)</f>
        <v>243154</v>
      </c>
    </row>
    <row r="33" spans="2:6" ht="13.5" thickTop="1" x14ac:dyDescent="0.2">
      <c r="B33" s="6"/>
      <c r="C33" s="15"/>
      <c r="D33" s="72"/>
      <c r="E33" s="72"/>
      <c r="F33" s="72"/>
    </row>
    <row r="34" spans="2:6" x14ac:dyDescent="0.2">
      <c r="B34" s="6"/>
      <c r="C34" s="15"/>
      <c r="D34" s="72"/>
      <c r="E34" s="72"/>
      <c r="F34" s="72"/>
    </row>
    <row r="35" spans="2:6" x14ac:dyDescent="0.2">
      <c r="B35" s="4" t="s">
        <v>1320</v>
      </c>
      <c r="C35" s="15"/>
      <c r="D35" s="72"/>
      <c r="E35" s="72"/>
      <c r="F35" s="72"/>
    </row>
    <row r="36" spans="2:6" x14ac:dyDescent="0.2">
      <c r="B36" s="4" t="s">
        <v>509</v>
      </c>
      <c r="C36" s="15"/>
      <c r="D36" s="72"/>
      <c r="E36" s="72"/>
      <c r="F36" s="72"/>
    </row>
    <row r="37" spans="2:6" x14ac:dyDescent="0.2">
      <c r="B37" s="4" t="s">
        <v>1321</v>
      </c>
      <c r="C37" s="15"/>
      <c r="D37" s="72"/>
      <c r="E37" s="72"/>
      <c r="F37" s="72"/>
    </row>
    <row r="38" spans="2:6" x14ac:dyDescent="0.2">
      <c r="B38" s="6"/>
      <c r="C38" s="7" t="str">
        <f>+C4</f>
        <v>2018 ACTUAL</v>
      </c>
      <c r="D38" s="7" t="str">
        <f>+D4</f>
        <v>2019 ACTUAL</v>
      </c>
      <c r="E38" s="7" t="str">
        <f>+E4</f>
        <v>2020 BUDGET</v>
      </c>
      <c r="F38" s="7" t="str">
        <f>+F4</f>
        <v>2021 BUDGET</v>
      </c>
    </row>
    <row r="40" spans="2:6" x14ac:dyDescent="0.2">
      <c r="B40" t="s">
        <v>1322</v>
      </c>
      <c r="C40" s="66">
        <v>32613.00999999998</v>
      </c>
      <c r="D40" s="66">
        <f>C48</f>
        <v>48888.389999999956</v>
      </c>
      <c r="E40" s="66">
        <f>D48</f>
        <v>48636.319999999978</v>
      </c>
      <c r="F40" s="66">
        <f>E48</f>
        <v>31123.319999999949</v>
      </c>
    </row>
    <row r="41" spans="2:6" x14ac:dyDescent="0.2">
      <c r="C41" s="62"/>
    </row>
    <row r="42" spans="2:6" x14ac:dyDescent="0.2">
      <c r="B42" t="s">
        <v>106</v>
      </c>
      <c r="C42" s="67">
        <f>C13</f>
        <v>222614.69999999998</v>
      </c>
      <c r="D42" s="67">
        <f>D13</f>
        <v>227568.2</v>
      </c>
      <c r="E42" s="67">
        <f>E13</f>
        <v>222792</v>
      </c>
      <c r="F42" s="67">
        <f>F13</f>
        <v>244402.63785576884</v>
      </c>
    </row>
    <row r="43" spans="2:6" x14ac:dyDescent="0.2">
      <c r="C43" s="54"/>
      <c r="D43" s="54"/>
      <c r="E43" s="54"/>
      <c r="F43" s="54"/>
    </row>
    <row r="44" spans="2:6" x14ac:dyDescent="0.2">
      <c r="B44" t="s">
        <v>1404</v>
      </c>
      <c r="C44" s="54">
        <f>C32</f>
        <v>206339.32</v>
      </c>
      <c r="D44" s="54">
        <f>D32</f>
        <v>227820.27</v>
      </c>
      <c r="E44" s="54">
        <f>E32</f>
        <v>240305</v>
      </c>
      <c r="F44" s="54">
        <f>F32</f>
        <v>243154</v>
      </c>
    </row>
    <row r="45" spans="2:6" x14ac:dyDescent="0.2">
      <c r="C45" s="54"/>
      <c r="D45" s="54"/>
      <c r="E45" s="54"/>
      <c r="F45" s="54"/>
    </row>
    <row r="46" spans="2:6" x14ac:dyDescent="0.2">
      <c r="B46" t="s">
        <v>1325</v>
      </c>
      <c r="C46" s="54">
        <v>0</v>
      </c>
      <c r="D46" s="54">
        <v>0</v>
      </c>
      <c r="E46" s="54">
        <v>0</v>
      </c>
      <c r="F46" s="54">
        <v>0</v>
      </c>
    </row>
    <row r="47" spans="2:6" x14ac:dyDescent="0.2">
      <c r="C47" s="26"/>
      <c r="D47" s="26"/>
      <c r="E47" s="26"/>
      <c r="F47" s="26"/>
    </row>
    <row r="48" spans="2:6" ht="13.5" thickBot="1" x14ac:dyDescent="0.25">
      <c r="B48" t="s">
        <v>1326</v>
      </c>
      <c r="C48" s="78">
        <f>C40+C42-C44+C46</f>
        <v>48888.389999999956</v>
      </c>
      <c r="D48" s="78">
        <f>D40+D42-D44+D46</f>
        <v>48636.319999999978</v>
      </c>
      <c r="E48" s="78">
        <f>E40+E42-E44+E46</f>
        <v>31123.319999999949</v>
      </c>
      <c r="F48" s="78">
        <f>F40+F42-F44+F46</f>
        <v>32371.957855768793</v>
      </c>
    </row>
    <row r="49" spans="3:3" ht="13.5" thickTop="1" x14ac:dyDescent="0.2"/>
    <row r="51" spans="3:3" x14ac:dyDescent="0.2">
      <c r="C51" s="10"/>
    </row>
  </sheetData>
  <phoneticPr fontId="2" type="noConversion"/>
  <pageMargins left="0.5" right="0.25" top="1" bottom="1" header="0.5" footer="0.5"/>
  <pageSetup scale="85" firstPageNumber="18" orientation="portrait" useFirstPageNumber="1" r:id="rId1"/>
  <headerFooter alignWithMargins="0"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F32"/>
  <sheetViews>
    <sheetView zoomScaleNormal="100" workbookViewId="0"/>
  </sheetViews>
  <sheetFormatPr defaultRowHeight="12.75" x14ac:dyDescent="0.2"/>
  <cols>
    <col min="1" max="1" width="14.85546875" bestFit="1" customWidth="1"/>
    <col min="2" max="2" width="39.7109375" customWidth="1"/>
    <col min="3" max="3" width="13.140625" bestFit="1" customWidth="1"/>
    <col min="4" max="6" width="13.28515625" bestFit="1" customWidth="1"/>
  </cols>
  <sheetData>
    <row r="1" spans="1:6" x14ac:dyDescent="0.2">
      <c r="A1" t="s">
        <v>1410</v>
      </c>
      <c r="B1" s="4" t="s">
        <v>638</v>
      </c>
      <c r="C1" s="1" t="s">
        <v>1410</v>
      </c>
      <c r="D1" s="1" t="s">
        <v>1410</v>
      </c>
      <c r="E1" s="1" t="s">
        <v>1410</v>
      </c>
      <c r="F1" s="1" t="s">
        <v>1410</v>
      </c>
    </row>
    <row r="2" spans="1:6" x14ac:dyDescent="0.2">
      <c r="B2" s="4" t="s">
        <v>16</v>
      </c>
      <c r="C2" s="1" t="s">
        <v>1410</v>
      </c>
      <c r="D2" s="1" t="s">
        <v>1410</v>
      </c>
      <c r="E2" s="1" t="s">
        <v>1410</v>
      </c>
      <c r="F2" s="1" t="s">
        <v>1410</v>
      </c>
    </row>
    <row r="3" spans="1:6" x14ac:dyDescent="0.2">
      <c r="C3" s="1" t="s">
        <v>1410</v>
      </c>
      <c r="D3" s="1" t="s">
        <v>1410</v>
      </c>
      <c r="E3" s="1" t="s">
        <v>1410</v>
      </c>
      <c r="F3" s="1" t="s">
        <v>1410</v>
      </c>
    </row>
    <row r="4" spans="1:6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6" x14ac:dyDescent="0.2">
      <c r="B5" s="4" t="s">
        <v>299</v>
      </c>
      <c r="C5" s="50"/>
      <c r="D5" s="50"/>
      <c r="E5" s="50"/>
      <c r="F5" s="50"/>
    </row>
    <row r="6" spans="1:6" x14ac:dyDescent="0.2">
      <c r="A6" t="s">
        <v>1218</v>
      </c>
      <c r="B6" s="254" t="s">
        <v>1831</v>
      </c>
      <c r="C6" s="8">
        <v>0</v>
      </c>
      <c r="D6" s="8">
        <v>0</v>
      </c>
      <c r="E6" s="8">
        <v>0</v>
      </c>
      <c r="F6" s="8">
        <v>0</v>
      </c>
    </row>
    <row r="7" spans="1:6" x14ac:dyDescent="0.2">
      <c r="A7" t="s">
        <v>1219</v>
      </c>
      <c r="B7" s="254" t="s">
        <v>1832</v>
      </c>
      <c r="C7" s="10">
        <v>0</v>
      </c>
      <c r="D7" s="10">
        <v>0</v>
      </c>
      <c r="E7" s="10">
        <v>0</v>
      </c>
      <c r="F7" s="10">
        <v>0</v>
      </c>
    </row>
    <row r="8" spans="1:6" x14ac:dyDescent="0.2">
      <c r="A8" t="s">
        <v>1220</v>
      </c>
      <c r="B8" s="253" t="s">
        <v>2281</v>
      </c>
      <c r="C8" s="10">
        <v>0</v>
      </c>
      <c r="D8" s="10">
        <v>0</v>
      </c>
      <c r="E8" s="10">
        <v>0</v>
      </c>
      <c r="F8" s="10">
        <v>0</v>
      </c>
    </row>
    <row r="9" spans="1:6" x14ac:dyDescent="0.2">
      <c r="A9" t="s">
        <v>1221</v>
      </c>
      <c r="B9" s="253" t="s">
        <v>1885</v>
      </c>
      <c r="C9" s="41">
        <v>0</v>
      </c>
      <c r="D9" s="41">
        <v>0</v>
      </c>
      <c r="E9" s="41">
        <v>0</v>
      </c>
      <c r="F9" s="41">
        <v>0</v>
      </c>
    </row>
    <row r="10" spans="1:6" x14ac:dyDescent="0.2">
      <c r="A10" t="s">
        <v>1222</v>
      </c>
      <c r="B10" s="253" t="s">
        <v>1746</v>
      </c>
      <c r="C10" s="41">
        <v>20.49</v>
      </c>
      <c r="D10" s="41">
        <v>12.42</v>
      </c>
      <c r="E10" s="41">
        <v>0</v>
      </c>
      <c r="F10" s="41">
        <v>0</v>
      </c>
    </row>
    <row r="11" spans="1:6" ht="13.5" thickBot="1" x14ac:dyDescent="0.25">
      <c r="A11" t="s">
        <v>1410</v>
      </c>
      <c r="B11" s="6" t="s">
        <v>129</v>
      </c>
      <c r="C11" s="14">
        <f>SUM(C6:C10)</f>
        <v>20.49</v>
      </c>
      <c r="D11" s="14">
        <f>SUM(D6:D10)</f>
        <v>12.42</v>
      </c>
      <c r="E11" s="14">
        <f>SUM(E6:E10)</f>
        <v>0</v>
      </c>
      <c r="F11" s="14">
        <f>SUM(F6:F10)</f>
        <v>0</v>
      </c>
    </row>
    <row r="12" spans="1:6" ht="13.5" thickTop="1" x14ac:dyDescent="0.2">
      <c r="A12" t="s">
        <v>1410</v>
      </c>
    </row>
    <row r="13" spans="1:6" x14ac:dyDescent="0.2">
      <c r="A13" s="39"/>
      <c r="B13" s="4" t="s">
        <v>844</v>
      </c>
    </row>
    <row r="14" spans="1:6" x14ac:dyDescent="0.2">
      <c r="A14" t="s">
        <v>17</v>
      </c>
      <c r="B14" s="253" t="s">
        <v>2282</v>
      </c>
      <c r="C14" s="43">
        <v>0</v>
      </c>
      <c r="D14" s="43">
        <v>0</v>
      </c>
      <c r="E14" s="43">
        <v>5504</v>
      </c>
      <c r="F14" s="43">
        <v>0</v>
      </c>
    </row>
    <row r="15" spans="1:6" x14ac:dyDescent="0.2">
      <c r="A15" t="s">
        <v>18</v>
      </c>
      <c r="B15" s="253" t="s">
        <v>2283</v>
      </c>
      <c r="C15" s="10">
        <v>0</v>
      </c>
      <c r="D15" s="10">
        <v>0</v>
      </c>
      <c r="E15" s="10">
        <v>0</v>
      </c>
      <c r="F15" s="10">
        <v>0</v>
      </c>
    </row>
    <row r="16" spans="1:6" ht="13.5" thickBot="1" x14ac:dyDescent="0.25">
      <c r="B16" s="6" t="s">
        <v>1319</v>
      </c>
      <c r="C16" s="44">
        <f>SUM(C14:C15)</f>
        <v>0</v>
      </c>
      <c r="D16" s="44">
        <f>SUM(D14:D15)</f>
        <v>0</v>
      </c>
      <c r="E16" s="44">
        <f>SUM(E14:E15)</f>
        <v>5504</v>
      </c>
      <c r="F16" s="44">
        <f>SUM(F14:F15)</f>
        <v>0</v>
      </c>
    </row>
    <row r="17" spans="1:6" ht="13.5" thickTop="1" x14ac:dyDescent="0.2">
      <c r="B17" s="6"/>
      <c r="C17" s="45"/>
      <c r="D17" s="45"/>
      <c r="E17" s="45"/>
      <c r="F17" s="45"/>
    </row>
    <row r="18" spans="1:6" x14ac:dyDescent="0.2">
      <c r="B18" s="4" t="s">
        <v>638</v>
      </c>
      <c r="C18" s="45"/>
      <c r="D18" s="45"/>
      <c r="E18" s="45"/>
      <c r="F18" s="45"/>
    </row>
    <row r="19" spans="1:6" x14ac:dyDescent="0.2">
      <c r="B19" s="4" t="s">
        <v>16</v>
      </c>
      <c r="C19" s="45"/>
      <c r="D19" s="45"/>
      <c r="E19" s="45"/>
      <c r="F19" s="45"/>
    </row>
    <row r="20" spans="1:6" x14ac:dyDescent="0.2">
      <c r="B20" s="4" t="s">
        <v>1321</v>
      </c>
    </row>
    <row r="21" spans="1:6" x14ac:dyDescent="0.2">
      <c r="C21" s="7" t="str">
        <f>+C4</f>
        <v>2018 ACTUAL</v>
      </c>
      <c r="D21" s="7" t="str">
        <f>+D4</f>
        <v>2019 ACTUAL</v>
      </c>
      <c r="E21" s="7" t="str">
        <f>+E4</f>
        <v>2020 BUDGET</v>
      </c>
      <c r="F21" s="7" t="str">
        <f>+F4</f>
        <v>2021 BUDGET</v>
      </c>
    </row>
    <row r="22" spans="1:6" x14ac:dyDescent="0.2">
      <c r="C22" s="1"/>
      <c r="D22" s="1"/>
      <c r="E22" s="1"/>
      <c r="F22" s="1"/>
    </row>
    <row r="23" spans="1:6" x14ac:dyDescent="0.2">
      <c r="A23" t="s">
        <v>1410</v>
      </c>
      <c r="B23" t="s">
        <v>1322</v>
      </c>
      <c r="C23" s="8">
        <v>5483.95</v>
      </c>
      <c r="D23" s="8">
        <f>C31</f>
        <v>5504.44</v>
      </c>
      <c r="E23" s="8">
        <f>D31</f>
        <v>5516.86</v>
      </c>
      <c r="F23" s="8">
        <f>E31</f>
        <v>12.859999999999673</v>
      </c>
    </row>
    <row r="24" spans="1:6" x14ac:dyDescent="0.2">
      <c r="C24" s="10"/>
      <c r="D24" s="10"/>
      <c r="E24" s="10"/>
      <c r="F24" s="10"/>
    </row>
    <row r="25" spans="1:6" x14ac:dyDescent="0.2">
      <c r="A25" t="s">
        <v>1410</v>
      </c>
      <c r="B25" t="s">
        <v>106</v>
      </c>
      <c r="C25" s="10">
        <f>C11</f>
        <v>20.49</v>
      </c>
      <c r="D25" s="10">
        <f>D11</f>
        <v>12.42</v>
      </c>
      <c r="E25" s="10">
        <f>E11</f>
        <v>0</v>
      </c>
      <c r="F25" s="10">
        <f>F11</f>
        <v>0</v>
      </c>
    </row>
    <row r="26" spans="1:6" x14ac:dyDescent="0.2">
      <c r="C26" s="10"/>
      <c r="D26" s="10"/>
      <c r="E26" s="10"/>
      <c r="F26" s="10"/>
    </row>
    <row r="27" spans="1:6" x14ac:dyDescent="0.2">
      <c r="B27" t="s">
        <v>1404</v>
      </c>
      <c r="C27" s="16">
        <f>C16</f>
        <v>0</v>
      </c>
      <c r="D27" s="16">
        <f>D16</f>
        <v>0</v>
      </c>
      <c r="E27" s="16">
        <f>E16</f>
        <v>5504</v>
      </c>
      <c r="F27" s="16">
        <f>F16</f>
        <v>0</v>
      </c>
    </row>
    <row r="28" spans="1:6" x14ac:dyDescent="0.2">
      <c r="C28" s="16"/>
      <c r="D28" s="16"/>
      <c r="E28" s="16"/>
      <c r="F28" s="16"/>
    </row>
    <row r="29" spans="1:6" x14ac:dyDescent="0.2">
      <c r="B29" t="s">
        <v>1121</v>
      </c>
      <c r="C29" s="12">
        <v>0</v>
      </c>
      <c r="D29" s="12">
        <v>0</v>
      </c>
      <c r="E29" s="12">
        <v>0</v>
      </c>
      <c r="F29" s="12">
        <v>0</v>
      </c>
    </row>
    <row r="31" spans="1:6" ht="13.5" thickBot="1" x14ac:dyDescent="0.25">
      <c r="B31" t="s">
        <v>1326</v>
      </c>
      <c r="C31" s="17">
        <f>SUM(C23+C25-C27+C29)</f>
        <v>5504.44</v>
      </c>
      <c r="D31" s="17">
        <f>SUM(D23+D25-D27+D29)</f>
        <v>5516.86</v>
      </c>
      <c r="E31" s="17">
        <f>SUM(E23+E25-E27+E29)</f>
        <v>12.859999999999673</v>
      </c>
      <c r="F31" s="17">
        <f>SUM(F23+F25-F27+F29)</f>
        <v>12.859999999999673</v>
      </c>
    </row>
    <row r="32" spans="1:6" ht="13.5" thickTop="1" x14ac:dyDescent="0.2"/>
  </sheetData>
  <phoneticPr fontId="2" type="noConversion"/>
  <pageMargins left="0.5" right="0.5" top="1" bottom="1" header="0.5" footer="0.5"/>
  <pageSetup scale="85" firstPageNumber="60" orientation="portrait" useFirstPageNumber="1" r:id="rId1"/>
  <headerFooter alignWithMargins="0">
    <oddFooter>&amp;C&amp;P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K149"/>
  <sheetViews>
    <sheetView zoomScaleNormal="100" workbookViewId="0"/>
  </sheetViews>
  <sheetFormatPr defaultRowHeight="12.75" x14ac:dyDescent="0.2"/>
  <cols>
    <col min="1" max="1" width="14.85546875" bestFit="1" customWidth="1"/>
    <col min="2" max="2" width="40" customWidth="1"/>
    <col min="3" max="3" width="13.140625" bestFit="1" customWidth="1"/>
    <col min="4" max="6" width="13.28515625" style="62" bestFit="1" customWidth="1"/>
  </cols>
  <sheetData>
    <row r="1" spans="1:6" x14ac:dyDescent="0.2">
      <c r="A1" s="18" t="s">
        <v>1410</v>
      </c>
      <c r="B1" s="4" t="s">
        <v>638</v>
      </c>
      <c r="C1" s="1" t="s">
        <v>1410</v>
      </c>
      <c r="D1" s="75" t="s">
        <v>1410</v>
      </c>
      <c r="E1" s="75" t="s">
        <v>1410</v>
      </c>
      <c r="F1" s="75" t="s">
        <v>1410</v>
      </c>
    </row>
    <row r="2" spans="1:6" x14ac:dyDescent="0.2">
      <c r="A2" s="18"/>
      <c r="B2" s="4" t="s">
        <v>412</v>
      </c>
      <c r="C2" s="1" t="s">
        <v>1410</v>
      </c>
      <c r="D2" s="75" t="s">
        <v>1410</v>
      </c>
      <c r="E2" s="75" t="s">
        <v>1410</v>
      </c>
      <c r="F2" s="75" t="s">
        <v>1410</v>
      </c>
    </row>
    <row r="3" spans="1:6" x14ac:dyDescent="0.2">
      <c r="A3" s="18"/>
      <c r="C3" s="1" t="s">
        <v>1410</v>
      </c>
      <c r="D3" s="75" t="s">
        <v>1410</v>
      </c>
      <c r="E3" s="75" t="s">
        <v>1410</v>
      </c>
      <c r="F3" s="75" t="s">
        <v>1410</v>
      </c>
    </row>
    <row r="4" spans="1:6" x14ac:dyDescent="0.2">
      <c r="A4" s="18"/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6" x14ac:dyDescent="0.2">
      <c r="A5" s="18" t="s">
        <v>1410</v>
      </c>
      <c r="B5" s="4" t="s">
        <v>299</v>
      </c>
    </row>
    <row r="6" spans="1:6" x14ac:dyDescent="0.2">
      <c r="A6" s="18" t="s">
        <v>1197</v>
      </c>
      <c r="B6" s="254" t="s">
        <v>2284</v>
      </c>
      <c r="C6" s="8">
        <v>26420.97</v>
      </c>
      <c r="D6" s="66">
        <v>45685.29</v>
      </c>
      <c r="E6" s="66">
        <v>40000</v>
      </c>
      <c r="F6" s="66">
        <v>20000</v>
      </c>
    </row>
    <row r="7" spans="1:6" x14ac:dyDescent="0.2">
      <c r="A7" s="18" t="s">
        <v>1198</v>
      </c>
      <c r="B7" s="253" t="s">
        <v>1746</v>
      </c>
      <c r="C7" s="29">
        <v>6749.05</v>
      </c>
      <c r="D7" s="68">
        <v>6656.81</v>
      </c>
      <c r="E7" s="68">
        <v>5500</v>
      </c>
      <c r="F7" s="68">
        <v>2500</v>
      </c>
    </row>
    <row r="8" spans="1:6" ht="13.5" thickBot="1" x14ac:dyDescent="0.25">
      <c r="A8" s="18"/>
      <c r="B8" s="6" t="s">
        <v>129</v>
      </c>
      <c r="C8" s="14">
        <f>SUM(C6:C7)</f>
        <v>33170.020000000004</v>
      </c>
      <c r="D8" s="78">
        <f>SUM(D6:D7)</f>
        <v>52342.1</v>
      </c>
      <c r="E8" s="78">
        <f>SUM(E6:E7)</f>
        <v>45500</v>
      </c>
      <c r="F8" s="78">
        <f>SUM(F6:F7)</f>
        <v>22500</v>
      </c>
    </row>
    <row r="9" spans="1:6" ht="13.5" thickTop="1" x14ac:dyDescent="0.2">
      <c r="A9" s="18" t="s">
        <v>1410</v>
      </c>
    </row>
    <row r="10" spans="1:6" x14ac:dyDescent="0.2">
      <c r="A10" s="18"/>
      <c r="B10" s="270" t="s">
        <v>844</v>
      </c>
    </row>
    <row r="11" spans="1:6" x14ac:dyDescent="0.2">
      <c r="A11" s="129" t="s">
        <v>1570</v>
      </c>
      <c r="B11" s="254" t="s">
        <v>2285</v>
      </c>
      <c r="C11" s="198">
        <v>0</v>
      </c>
      <c r="D11" s="199">
        <v>0</v>
      </c>
      <c r="E11" s="199">
        <v>0</v>
      </c>
      <c r="F11" s="199">
        <v>0</v>
      </c>
    </row>
    <row r="12" spans="1:6" x14ac:dyDescent="0.2">
      <c r="A12" s="129" t="s">
        <v>1571</v>
      </c>
      <c r="B12" s="254" t="s">
        <v>2286</v>
      </c>
      <c r="C12" s="25">
        <v>1000</v>
      </c>
      <c r="D12" s="82">
        <v>1000</v>
      </c>
      <c r="E12" s="82">
        <v>1000</v>
      </c>
      <c r="F12" s="82">
        <v>1000</v>
      </c>
    </row>
    <row r="13" spans="1:6" x14ac:dyDescent="0.2">
      <c r="A13" s="129" t="s">
        <v>1572</v>
      </c>
      <c r="B13" s="254" t="s">
        <v>2140</v>
      </c>
      <c r="C13" s="25">
        <v>0</v>
      </c>
      <c r="D13" s="82">
        <v>0</v>
      </c>
      <c r="E13" s="82">
        <v>0</v>
      </c>
      <c r="F13" s="82">
        <v>0</v>
      </c>
    </row>
    <row r="14" spans="1:6" x14ac:dyDescent="0.2">
      <c r="A14" s="129" t="s">
        <v>1573</v>
      </c>
      <c r="B14" s="254" t="s">
        <v>2141</v>
      </c>
      <c r="C14" s="25">
        <v>0</v>
      </c>
      <c r="D14" s="82">
        <v>0</v>
      </c>
      <c r="E14" s="82">
        <v>0</v>
      </c>
      <c r="F14" s="82">
        <v>0</v>
      </c>
    </row>
    <row r="15" spans="1:6" x14ac:dyDescent="0.2">
      <c r="A15" s="129" t="s">
        <v>1574</v>
      </c>
      <c r="B15" s="254" t="s">
        <v>1945</v>
      </c>
      <c r="C15" s="25">
        <v>0</v>
      </c>
      <c r="D15" s="82">
        <v>0</v>
      </c>
      <c r="E15" s="82">
        <v>0</v>
      </c>
      <c r="F15" s="82">
        <v>0</v>
      </c>
    </row>
    <row r="16" spans="1:6" x14ac:dyDescent="0.2">
      <c r="A16" s="129" t="s">
        <v>1575</v>
      </c>
      <c r="B16" s="254" t="s">
        <v>2142</v>
      </c>
      <c r="C16" s="25">
        <v>0</v>
      </c>
      <c r="D16" s="82">
        <v>0</v>
      </c>
      <c r="E16" s="82">
        <v>0</v>
      </c>
      <c r="F16" s="82">
        <v>0</v>
      </c>
    </row>
    <row r="17" spans="1:11" x14ac:dyDescent="0.2">
      <c r="A17" s="129" t="s">
        <v>1576</v>
      </c>
      <c r="B17" s="254" t="s">
        <v>2287</v>
      </c>
      <c r="C17" s="25">
        <v>3200</v>
      </c>
      <c r="D17" s="82">
        <v>3200</v>
      </c>
      <c r="E17" s="82">
        <v>3200</v>
      </c>
      <c r="F17" s="82">
        <v>4000</v>
      </c>
    </row>
    <row r="18" spans="1:11" x14ac:dyDescent="0.2">
      <c r="A18" s="129" t="s">
        <v>1577</v>
      </c>
      <c r="B18" s="254" t="s">
        <v>2288</v>
      </c>
      <c r="C18" s="25">
        <v>0</v>
      </c>
      <c r="D18" s="82">
        <v>0</v>
      </c>
      <c r="E18" s="82">
        <v>0</v>
      </c>
      <c r="F18" s="82">
        <v>0</v>
      </c>
    </row>
    <row r="19" spans="1:11" x14ac:dyDescent="0.2">
      <c r="A19" s="129" t="s">
        <v>1578</v>
      </c>
      <c r="B19" s="254" t="s">
        <v>2289</v>
      </c>
      <c r="C19" s="25">
        <v>8000</v>
      </c>
      <c r="D19" s="82">
        <v>8000</v>
      </c>
      <c r="E19" s="82">
        <v>8000</v>
      </c>
      <c r="F19" s="82">
        <v>8000</v>
      </c>
    </row>
    <row r="20" spans="1:11" x14ac:dyDescent="0.2">
      <c r="A20" s="129" t="s">
        <v>1579</v>
      </c>
      <c r="B20" s="254" t="s">
        <v>2143</v>
      </c>
      <c r="C20" s="25">
        <v>0</v>
      </c>
      <c r="D20" s="82">
        <v>0</v>
      </c>
      <c r="E20" s="82">
        <v>0</v>
      </c>
      <c r="F20" s="82">
        <v>0</v>
      </c>
    </row>
    <row r="21" spans="1:11" x14ac:dyDescent="0.2">
      <c r="A21" s="202" t="s">
        <v>1712</v>
      </c>
      <c r="B21" s="265" t="s">
        <v>1946</v>
      </c>
      <c r="C21" s="25">
        <v>0</v>
      </c>
      <c r="D21" s="82">
        <v>0</v>
      </c>
      <c r="E21" s="82">
        <v>0</v>
      </c>
      <c r="F21" s="82">
        <v>0</v>
      </c>
    </row>
    <row r="22" spans="1:11" x14ac:dyDescent="0.2">
      <c r="A22" s="129" t="s">
        <v>1580</v>
      </c>
      <c r="B22" s="254" t="s">
        <v>1947</v>
      </c>
      <c r="C22" s="25">
        <v>0</v>
      </c>
      <c r="D22" s="82">
        <v>0</v>
      </c>
      <c r="E22" s="82">
        <v>0</v>
      </c>
      <c r="F22" s="82">
        <v>0</v>
      </c>
    </row>
    <row r="23" spans="1:11" x14ac:dyDescent="0.2">
      <c r="A23" s="129" t="s">
        <v>1581</v>
      </c>
      <c r="B23" s="254" t="s">
        <v>1948</v>
      </c>
      <c r="C23" s="25">
        <v>0</v>
      </c>
      <c r="D23" s="82">
        <v>0</v>
      </c>
      <c r="E23" s="82">
        <v>0</v>
      </c>
      <c r="F23" s="82">
        <v>0</v>
      </c>
    </row>
    <row r="24" spans="1:11" x14ac:dyDescent="0.2">
      <c r="A24" s="129" t="s">
        <v>1582</v>
      </c>
      <c r="B24" s="254" t="s">
        <v>1950</v>
      </c>
      <c r="C24" s="25">
        <v>8000</v>
      </c>
      <c r="D24" s="82">
        <v>8000</v>
      </c>
      <c r="E24" s="82">
        <v>8000</v>
      </c>
      <c r="F24" s="82">
        <v>8000</v>
      </c>
    </row>
    <row r="25" spans="1:11" x14ac:dyDescent="0.2">
      <c r="A25" s="18" t="s">
        <v>461</v>
      </c>
      <c r="B25" s="254" t="s">
        <v>1557</v>
      </c>
      <c r="C25" s="10">
        <v>0</v>
      </c>
      <c r="D25" s="67">
        <v>0</v>
      </c>
      <c r="E25" s="67">
        <v>0</v>
      </c>
      <c r="F25" s="67">
        <v>0</v>
      </c>
    </row>
    <row r="26" spans="1:11" x14ac:dyDescent="0.2">
      <c r="A26" s="61" t="s">
        <v>1732</v>
      </c>
      <c r="B26" s="254" t="s">
        <v>2290</v>
      </c>
      <c r="C26" s="10">
        <v>0</v>
      </c>
      <c r="D26" s="67">
        <v>0</v>
      </c>
      <c r="E26" s="67">
        <v>0</v>
      </c>
      <c r="F26" s="67">
        <v>0</v>
      </c>
    </row>
    <row r="27" spans="1:11" x14ac:dyDescent="0.2">
      <c r="A27" s="61" t="s">
        <v>1779</v>
      </c>
      <c r="B27" s="254" t="s">
        <v>2291</v>
      </c>
      <c r="C27" s="10">
        <v>0</v>
      </c>
      <c r="D27" s="67">
        <v>104575.63</v>
      </c>
      <c r="E27" s="67">
        <v>0</v>
      </c>
      <c r="F27" s="67">
        <v>0</v>
      </c>
    </row>
    <row r="28" spans="1:11" x14ac:dyDescent="0.2">
      <c r="A28" s="61" t="s">
        <v>1780</v>
      </c>
      <c r="B28" s="254" t="s">
        <v>2292</v>
      </c>
      <c r="C28" s="10">
        <v>0</v>
      </c>
      <c r="D28" s="67">
        <v>2470</v>
      </c>
      <c r="E28" s="67">
        <v>0</v>
      </c>
      <c r="F28" s="67">
        <v>0</v>
      </c>
    </row>
    <row r="29" spans="1:11" x14ac:dyDescent="0.2">
      <c r="A29" s="129" t="s">
        <v>397</v>
      </c>
      <c r="B29" s="254" t="s">
        <v>1882</v>
      </c>
      <c r="C29" s="10">
        <v>0</v>
      </c>
      <c r="D29" s="67">
        <v>0</v>
      </c>
      <c r="E29" s="67">
        <v>0</v>
      </c>
      <c r="F29" s="67">
        <v>0</v>
      </c>
    </row>
    <row r="30" spans="1:11" x14ac:dyDescent="0.2">
      <c r="A30" s="129" t="s">
        <v>1568</v>
      </c>
      <c r="B30" s="254" t="s">
        <v>2005</v>
      </c>
      <c r="C30" s="10">
        <v>27000</v>
      </c>
      <c r="D30" s="67">
        <v>0</v>
      </c>
      <c r="E30" s="67">
        <v>42500</v>
      </c>
      <c r="F30" s="67">
        <v>0</v>
      </c>
    </row>
    <row r="31" spans="1:11" ht="13.5" thickBot="1" x14ac:dyDescent="0.25">
      <c r="A31" s="18" t="s">
        <v>1410</v>
      </c>
      <c r="B31" s="6" t="s">
        <v>1319</v>
      </c>
      <c r="C31" s="44">
        <f>SUM(C11:C30)</f>
        <v>47200</v>
      </c>
      <c r="D31" s="44">
        <f>SUM(D11:D30)</f>
        <v>127245.63</v>
      </c>
      <c r="E31" s="44">
        <f>SUM(E11:E30)</f>
        <v>62700</v>
      </c>
      <c r="F31" s="44">
        <f>SUM(F11:F30)</f>
        <v>21000</v>
      </c>
      <c r="G31" s="62"/>
      <c r="H31" s="62"/>
      <c r="I31" s="62"/>
      <c r="J31" s="62"/>
      <c r="K31" s="62"/>
    </row>
    <row r="32" spans="1:11" ht="13.5" thickTop="1" x14ac:dyDescent="0.2">
      <c r="A32" s="18"/>
      <c r="B32" s="6"/>
      <c r="C32" s="45"/>
      <c r="D32" s="117"/>
      <c r="E32" s="117"/>
      <c r="F32" s="117"/>
      <c r="G32" s="62"/>
      <c r="H32" s="62"/>
      <c r="I32" s="62"/>
      <c r="J32" s="62"/>
      <c r="K32" s="62"/>
    </row>
    <row r="33" spans="1:6" x14ac:dyDescent="0.2">
      <c r="A33" s="18" t="s">
        <v>1410</v>
      </c>
      <c r="B33" s="4" t="s">
        <v>638</v>
      </c>
      <c r="C33" s="45"/>
      <c r="D33" s="117"/>
      <c r="E33" s="117"/>
      <c r="F33" s="117"/>
    </row>
    <row r="34" spans="1:6" x14ac:dyDescent="0.2">
      <c r="A34" s="18"/>
      <c r="B34" s="4" t="s">
        <v>412</v>
      </c>
      <c r="C34" s="45"/>
      <c r="D34" s="117"/>
      <c r="E34" s="117"/>
      <c r="F34" s="117"/>
    </row>
    <row r="35" spans="1:6" x14ac:dyDescent="0.2">
      <c r="A35" s="18"/>
      <c r="B35" s="4" t="s">
        <v>1321</v>
      </c>
    </row>
    <row r="36" spans="1:6" x14ac:dyDescent="0.2">
      <c r="C36" s="7" t="str">
        <f>+C4</f>
        <v>2018 ACTUAL</v>
      </c>
      <c r="D36" s="7" t="str">
        <f>+D4</f>
        <v>2019 ACTUAL</v>
      </c>
      <c r="E36" s="7" t="str">
        <f>+E4</f>
        <v>2020 BUDGET</v>
      </c>
      <c r="F36" s="7" t="str">
        <f>+F4</f>
        <v>2021 BUDGET</v>
      </c>
    </row>
    <row r="37" spans="1:6" x14ac:dyDescent="0.2">
      <c r="C37" s="1"/>
      <c r="D37" s="75"/>
      <c r="E37" s="75"/>
      <c r="F37" s="75"/>
    </row>
    <row r="38" spans="1:6" x14ac:dyDescent="0.2">
      <c r="B38" t="s">
        <v>1322</v>
      </c>
      <c r="C38" s="8">
        <v>385299.01</v>
      </c>
      <c r="D38" s="66">
        <f>C46</f>
        <v>371269.03</v>
      </c>
      <c r="E38" s="66">
        <f>D46</f>
        <v>296365.5</v>
      </c>
      <c r="F38" s="66">
        <f>E46</f>
        <v>279165.5</v>
      </c>
    </row>
    <row r="39" spans="1:6" x14ac:dyDescent="0.2">
      <c r="C39" s="10"/>
      <c r="D39" s="67"/>
      <c r="E39" s="67"/>
      <c r="F39" s="67"/>
    </row>
    <row r="40" spans="1:6" x14ac:dyDescent="0.2">
      <c r="B40" t="s">
        <v>106</v>
      </c>
      <c r="C40" s="10">
        <f>C8</f>
        <v>33170.020000000004</v>
      </c>
      <c r="D40" s="67">
        <f>D8</f>
        <v>52342.1</v>
      </c>
      <c r="E40" s="67">
        <f>E8</f>
        <v>45500</v>
      </c>
      <c r="F40" s="67">
        <f>F8</f>
        <v>22500</v>
      </c>
    </row>
    <row r="41" spans="1:6" x14ac:dyDescent="0.2">
      <c r="C41" s="10"/>
      <c r="D41" s="67"/>
      <c r="E41" s="67"/>
      <c r="F41" s="67"/>
    </row>
    <row r="42" spans="1:6" x14ac:dyDescent="0.2">
      <c r="B42" t="s">
        <v>1404</v>
      </c>
      <c r="C42" s="16">
        <f>C31</f>
        <v>47200</v>
      </c>
      <c r="D42" s="54">
        <f>D31</f>
        <v>127245.63</v>
      </c>
      <c r="E42" s="54">
        <f>E31</f>
        <v>62700</v>
      </c>
      <c r="F42" s="54">
        <f>F31</f>
        <v>21000</v>
      </c>
    </row>
    <row r="44" spans="1:6" x14ac:dyDescent="0.2">
      <c r="B44" t="s">
        <v>1121</v>
      </c>
      <c r="C44" s="12">
        <v>0</v>
      </c>
      <c r="D44" s="63">
        <v>0</v>
      </c>
      <c r="E44" s="63">
        <v>0</v>
      </c>
      <c r="F44" s="63">
        <v>0</v>
      </c>
    </row>
    <row r="45" spans="1:6" x14ac:dyDescent="0.2">
      <c r="C45" s="16"/>
      <c r="D45" s="54"/>
      <c r="E45" s="54"/>
      <c r="F45" s="54"/>
    </row>
    <row r="46" spans="1:6" ht="13.5" thickBot="1" x14ac:dyDescent="0.25">
      <c r="A46" t="s">
        <v>1410</v>
      </c>
      <c r="B46" t="s">
        <v>1326</v>
      </c>
      <c r="C46" s="17">
        <f>C38+C40-C42+C44</f>
        <v>371269.03</v>
      </c>
      <c r="D46" s="71">
        <f>D38+D40-D42+D44</f>
        <v>296365.5</v>
      </c>
      <c r="E46" s="71">
        <f>E38+E40-E42+E44</f>
        <v>279165.5</v>
      </c>
      <c r="F46" s="71">
        <f>F38+F40-F42+F44</f>
        <v>280665.5</v>
      </c>
    </row>
    <row r="47" spans="1:6" ht="13.5" thickTop="1" x14ac:dyDescent="0.2"/>
    <row r="48" spans="1:6" x14ac:dyDescent="0.2">
      <c r="A48" t="s">
        <v>1410</v>
      </c>
      <c r="C48" s="10"/>
    </row>
    <row r="49" spans="3:4" x14ac:dyDescent="0.2">
      <c r="C49" s="10"/>
      <c r="D49" s="67"/>
    </row>
    <row r="149" spans="3:6" x14ac:dyDescent="0.2">
      <c r="C149" s="9"/>
      <c r="D149" s="81"/>
      <c r="E149" s="81"/>
      <c r="F149" s="81"/>
    </row>
  </sheetData>
  <phoneticPr fontId="2" type="noConversion"/>
  <pageMargins left="0.5" right="0.5" top="1" bottom="1" header="0.5" footer="0.5"/>
  <pageSetup scale="85" firstPageNumber="61" orientation="portrait" useFirstPageNumber="1" r:id="rId1"/>
  <headerFooter alignWithMargins="0">
    <oddFooter>&amp;C&amp;P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F125"/>
  <sheetViews>
    <sheetView zoomScaleNormal="100" workbookViewId="0"/>
  </sheetViews>
  <sheetFormatPr defaultRowHeight="12.75" x14ac:dyDescent="0.2"/>
  <cols>
    <col min="1" max="1" width="14.85546875" bestFit="1" customWidth="1"/>
    <col min="2" max="2" width="39.28515625" customWidth="1"/>
    <col min="3" max="3" width="13.28515625" bestFit="1" customWidth="1"/>
    <col min="4" max="6" width="14.140625" style="62" bestFit="1" customWidth="1"/>
  </cols>
  <sheetData>
    <row r="1" spans="1:6" x14ac:dyDescent="0.2">
      <c r="A1" t="s">
        <v>1410</v>
      </c>
      <c r="B1" s="4" t="s">
        <v>638</v>
      </c>
      <c r="C1" s="1" t="s">
        <v>1410</v>
      </c>
      <c r="D1" s="75" t="s">
        <v>1410</v>
      </c>
      <c r="E1" s="75" t="s">
        <v>1410</v>
      </c>
      <c r="F1" s="75" t="s">
        <v>1410</v>
      </c>
    </row>
    <row r="2" spans="1:6" x14ac:dyDescent="0.2">
      <c r="B2" s="4" t="s">
        <v>409</v>
      </c>
      <c r="C2" s="1" t="s">
        <v>1410</v>
      </c>
      <c r="D2" s="75" t="s">
        <v>1410</v>
      </c>
      <c r="E2" s="75" t="s">
        <v>1410</v>
      </c>
      <c r="F2" s="75" t="s">
        <v>1410</v>
      </c>
    </row>
    <row r="3" spans="1:6" x14ac:dyDescent="0.2">
      <c r="C3" s="1" t="s">
        <v>1410</v>
      </c>
      <c r="D3" s="75" t="s">
        <v>1410</v>
      </c>
      <c r="E3" s="75" t="s">
        <v>1410</v>
      </c>
      <c r="F3" s="75" t="s">
        <v>1410</v>
      </c>
    </row>
    <row r="4" spans="1:6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6" x14ac:dyDescent="0.2">
      <c r="B5" s="4" t="s">
        <v>299</v>
      </c>
      <c r="C5" s="50"/>
      <c r="D5" s="91"/>
      <c r="E5" s="91"/>
      <c r="F5" s="91"/>
    </row>
    <row r="6" spans="1:6" x14ac:dyDescent="0.2">
      <c r="A6" t="s">
        <v>1199</v>
      </c>
      <c r="B6" s="4" t="s">
        <v>1409</v>
      </c>
      <c r="C6" s="8">
        <v>0</v>
      </c>
      <c r="D6" s="66">
        <v>0</v>
      </c>
      <c r="E6" s="66">
        <v>0</v>
      </c>
      <c r="F6" s="66">
        <v>0</v>
      </c>
    </row>
    <row r="7" spans="1:6" x14ac:dyDescent="0.2">
      <c r="A7" t="s">
        <v>1200</v>
      </c>
      <c r="B7" s="5" t="s">
        <v>1403</v>
      </c>
      <c r="C7" s="10">
        <v>0</v>
      </c>
      <c r="D7" s="67">
        <v>0</v>
      </c>
      <c r="E7" s="67">
        <v>0</v>
      </c>
      <c r="F7" s="67">
        <v>0</v>
      </c>
    </row>
    <row r="8" spans="1:6" ht="12.75" customHeight="1" x14ac:dyDescent="0.2">
      <c r="A8" t="s">
        <v>1636</v>
      </c>
      <c r="B8" t="s">
        <v>1528</v>
      </c>
      <c r="C8" s="41">
        <v>0</v>
      </c>
      <c r="D8" s="96">
        <v>0</v>
      </c>
      <c r="E8" s="96">
        <v>10</v>
      </c>
      <c r="F8" s="96">
        <v>0</v>
      </c>
    </row>
    <row r="9" spans="1:6" x14ac:dyDescent="0.2">
      <c r="A9" t="s">
        <v>1201</v>
      </c>
      <c r="B9" t="s">
        <v>955</v>
      </c>
      <c r="C9" s="41">
        <v>1029.68</v>
      </c>
      <c r="D9" s="96">
        <v>616.85</v>
      </c>
      <c r="E9" s="96">
        <v>5000</v>
      </c>
      <c r="F9" s="96">
        <v>1500</v>
      </c>
    </row>
    <row r="10" spans="1:6" ht="13.5" thickBot="1" x14ac:dyDescent="0.25">
      <c r="A10" t="s">
        <v>1410</v>
      </c>
      <c r="B10" s="6" t="s">
        <v>129</v>
      </c>
      <c r="C10" s="14">
        <f>SUM(C6:C9)</f>
        <v>1029.68</v>
      </c>
      <c r="D10" s="78">
        <f>SUM(D6:D9)</f>
        <v>616.85</v>
      </c>
      <c r="E10" s="78">
        <f>SUM(E6:E9)</f>
        <v>5010</v>
      </c>
      <c r="F10" s="78">
        <f>SUM(F6:F9)</f>
        <v>1500</v>
      </c>
    </row>
    <row r="11" spans="1:6" ht="13.5" thickTop="1" x14ac:dyDescent="0.2">
      <c r="A11" t="s">
        <v>1410</v>
      </c>
    </row>
    <row r="12" spans="1:6" x14ac:dyDescent="0.2">
      <c r="A12" s="39"/>
      <c r="B12" s="4" t="s">
        <v>844</v>
      </c>
    </row>
    <row r="13" spans="1:6" x14ac:dyDescent="0.2">
      <c r="A13" t="s">
        <v>410</v>
      </c>
      <c r="B13" t="s">
        <v>753</v>
      </c>
      <c r="C13" s="43">
        <v>6051</v>
      </c>
      <c r="D13" s="94">
        <v>1237</v>
      </c>
      <c r="E13" s="94">
        <v>0</v>
      </c>
      <c r="F13" s="94">
        <v>0</v>
      </c>
    </row>
    <row r="14" spans="1:6" x14ac:dyDescent="0.2">
      <c r="A14" t="s">
        <v>411</v>
      </c>
      <c r="B14" t="s">
        <v>132</v>
      </c>
      <c r="C14" s="10">
        <v>5141.75</v>
      </c>
      <c r="D14" s="67">
        <v>29.75</v>
      </c>
      <c r="E14" s="67">
        <v>50000</v>
      </c>
      <c r="F14" s="67">
        <v>35000</v>
      </c>
    </row>
    <row r="15" spans="1:6" ht="13.5" thickBot="1" x14ac:dyDescent="0.25">
      <c r="B15" s="6" t="s">
        <v>1319</v>
      </c>
      <c r="C15" s="44">
        <f>SUM(C13:C14)</f>
        <v>11192.75</v>
      </c>
      <c r="D15" s="116">
        <f>SUM(D13:D14)</f>
        <v>1266.75</v>
      </c>
      <c r="E15" s="116">
        <f>SUM(E13:E14)</f>
        <v>50000</v>
      </c>
      <c r="F15" s="116">
        <f>SUM(F13:F14)</f>
        <v>35000</v>
      </c>
    </row>
    <row r="16" spans="1:6" ht="13.5" thickTop="1" x14ac:dyDescent="0.2">
      <c r="B16" s="6"/>
      <c r="C16" s="45"/>
      <c r="D16" s="117"/>
      <c r="E16" s="117"/>
      <c r="F16" s="117"/>
    </row>
    <row r="17" spans="1:6" x14ac:dyDescent="0.2">
      <c r="B17" s="4" t="s">
        <v>638</v>
      </c>
      <c r="C17" s="45"/>
      <c r="D17" s="117"/>
      <c r="E17" s="117"/>
      <c r="F17" s="117"/>
    </row>
    <row r="18" spans="1:6" x14ac:dyDescent="0.2">
      <c r="B18" s="4" t="s">
        <v>409</v>
      </c>
      <c r="C18" s="45"/>
      <c r="D18" s="117"/>
      <c r="E18" s="117"/>
      <c r="F18" s="117"/>
    </row>
    <row r="19" spans="1:6" x14ac:dyDescent="0.2">
      <c r="B19" s="4" t="s">
        <v>1321</v>
      </c>
    </row>
    <row r="20" spans="1:6" x14ac:dyDescent="0.2">
      <c r="C20" s="7" t="str">
        <f>+C4</f>
        <v>2018 ACTUAL</v>
      </c>
      <c r="D20" s="7" t="str">
        <f>+D4</f>
        <v>2019 ACTUAL</v>
      </c>
      <c r="E20" s="7" t="str">
        <f>+E4</f>
        <v>2020 BUDGET</v>
      </c>
      <c r="F20" s="7" t="str">
        <f>+F4</f>
        <v>2021 BUDGET</v>
      </c>
    </row>
    <row r="21" spans="1:6" x14ac:dyDescent="0.2">
      <c r="C21" s="1"/>
      <c r="D21" s="75"/>
      <c r="E21" s="75"/>
      <c r="F21" s="75"/>
    </row>
    <row r="22" spans="1:6" x14ac:dyDescent="0.2">
      <c r="A22" t="s">
        <v>1410</v>
      </c>
      <c r="B22" t="s">
        <v>1322</v>
      </c>
      <c r="C22" s="8">
        <v>284834.05</v>
      </c>
      <c r="D22" s="66">
        <f>C30</f>
        <v>274670.98</v>
      </c>
      <c r="E22" s="66">
        <f>D30</f>
        <v>274021.07999999996</v>
      </c>
      <c r="F22" s="66">
        <f>E30</f>
        <v>229031.07999999996</v>
      </c>
    </row>
    <row r="23" spans="1:6" x14ac:dyDescent="0.2">
      <c r="C23" s="10"/>
      <c r="D23" s="67"/>
      <c r="E23" s="67"/>
      <c r="F23" s="67"/>
    </row>
    <row r="24" spans="1:6" x14ac:dyDescent="0.2">
      <c r="A24" t="s">
        <v>1410</v>
      </c>
      <c r="B24" t="s">
        <v>106</v>
      </c>
      <c r="C24" s="10">
        <f>C10</f>
        <v>1029.68</v>
      </c>
      <c r="D24" s="67">
        <f>D10</f>
        <v>616.85</v>
      </c>
      <c r="E24" s="67">
        <f>E10</f>
        <v>5010</v>
      </c>
      <c r="F24" s="67">
        <f>F10</f>
        <v>1500</v>
      </c>
    </row>
    <row r="25" spans="1:6" x14ac:dyDescent="0.2">
      <c r="C25" s="10"/>
      <c r="D25" s="67"/>
      <c r="E25" s="67"/>
      <c r="F25" s="67"/>
    </row>
    <row r="26" spans="1:6" x14ac:dyDescent="0.2">
      <c r="B26" t="s">
        <v>1404</v>
      </c>
      <c r="C26" s="16">
        <f>C15</f>
        <v>11192.75</v>
      </c>
      <c r="D26" s="54">
        <f>D15</f>
        <v>1266.75</v>
      </c>
      <c r="E26" s="54">
        <f>E15</f>
        <v>50000</v>
      </c>
      <c r="F26" s="54">
        <f>F15</f>
        <v>35000</v>
      </c>
    </row>
    <row r="27" spans="1:6" x14ac:dyDescent="0.2">
      <c r="C27" s="16"/>
      <c r="D27" s="54"/>
      <c r="E27" s="54"/>
      <c r="F27" s="54"/>
    </row>
    <row r="28" spans="1:6" x14ac:dyDescent="0.2">
      <c r="B28" t="s">
        <v>1121</v>
      </c>
      <c r="C28" s="12">
        <v>0</v>
      </c>
      <c r="D28" s="63">
        <v>0</v>
      </c>
      <c r="E28" s="63">
        <v>0</v>
      </c>
      <c r="F28" s="63">
        <v>0</v>
      </c>
    </row>
    <row r="30" spans="1:6" ht="13.5" thickBot="1" x14ac:dyDescent="0.25">
      <c r="B30" t="s">
        <v>1326</v>
      </c>
      <c r="C30" s="17">
        <f>SUM(C22+C24-C26+C28)</f>
        <v>274670.98</v>
      </c>
      <c r="D30" s="71">
        <f>SUM(D22+D24-D26+D28)</f>
        <v>274021.07999999996</v>
      </c>
      <c r="E30" s="71">
        <f>SUM(E22+E24-E26+E28)</f>
        <v>229031.07999999996</v>
      </c>
      <c r="F30" s="71">
        <f>SUM(F22+F24-F26+F28)</f>
        <v>195531.07999999996</v>
      </c>
    </row>
    <row r="31" spans="1:6" ht="13.5" thickTop="1" x14ac:dyDescent="0.2">
      <c r="D31" s="67"/>
    </row>
    <row r="32" spans="1:6" x14ac:dyDescent="0.2">
      <c r="C32" s="10"/>
    </row>
    <row r="125" spans="3:6" x14ac:dyDescent="0.2">
      <c r="C125" s="9"/>
      <c r="D125" s="81"/>
      <c r="E125" s="81"/>
      <c r="F125" s="81"/>
    </row>
  </sheetData>
  <phoneticPr fontId="2" type="noConversion"/>
  <pageMargins left="0.5" right="0.5" top="1" bottom="1" header="0.5" footer="0.5"/>
  <pageSetup scale="85" firstPageNumber="62" orientation="portrait" useFirstPageNumber="1" r:id="rId1"/>
  <headerFooter alignWithMargins="0">
    <oddFooter>&amp;C&amp;P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I148"/>
  <sheetViews>
    <sheetView zoomScaleNormal="100" workbookViewId="0"/>
  </sheetViews>
  <sheetFormatPr defaultRowHeight="12.75" x14ac:dyDescent="0.2"/>
  <cols>
    <col min="1" max="1" width="14.85546875" bestFit="1" customWidth="1"/>
    <col min="2" max="2" width="35.85546875" customWidth="1"/>
    <col min="3" max="3" width="15.85546875" customWidth="1"/>
    <col min="4" max="6" width="13.42578125" style="62" customWidth="1"/>
  </cols>
  <sheetData>
    <row r="1" spans="1:6" x14ac:dyDescent="0.2">
      <c r="A1" s="51" t="s">
        <v>1410</v>
      </c>
      <c r="B1" s="31" t="s">
        <v>638</v>
      </c>
      <c r="C1" s="1" t="s">
        <v>1410</v>
      </c>
      <c r="D1" s="75" t="s">
        <v>1410</v>
      </c>
      <c r="E1" s="75" t="s">
        <v>1410</v>
      </c>
      <c r="F1" s="75" t="s">
        <v>1410</v>
      </c>
    </row>
    <row r="2" spans="1:6" x14ac:dyDescent="0.2">
      <c r="A2" s="51"/>
      <c r="B2" s="4" t="s">
        <v>19</v>
      </c>
      <c r="C2" s="1" t="s">
        <v>1410</v>
      </c>
      <c r="D2" s="75" t="s">
        <v>1410</v>
      </c>
      <c r="E2" s="75" t="s">
        <v>1410</v>
      </c>
      <c r="F2" s="75" t="s">
        <v>1410</v>
      </c>
    </row>
    <row r="3" spans="1:6" x14ac:dyDescent="0.2">
      <c r="A3" s="51"/>
      <c r="B3" s="4" t="s">
        <v>299</v>
      </c>
      <c r="C3" s="1" t="s">
        <v>1410</v>
      </c>
      <c r="D3" s="75" t="s">
        <v>1410</v>
      </c>
      <c r="E3" s="75" t="s">
        <v>1410</v>
      </c>
      <c r="F3" s="75" t="s">
        <v>1410</v>
      </c>
    </row>
    <row r="4" spans="1:6" x14ac:dyDescent="0.2">
      <c r="A4" s="51"/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6" x14ac:dyDescent="0.2">
      <c r="A5" s="52">
        <v>890.33</v>
      </c>
      <c r="B5" s="31" t="s">
        <v>755</v>
      </c>
    </row>
    <row r="6" spans="1:6" x14ac:dyDescent="0.2">
      <c r="A6" s="51" t="s">
        <v>1202</v>
      </c>
      <c r="B6" s="253" t="s">
        <v>2293</v>
      </c>
      <c r="C6" s="23">
        <v>22500</v>
      </c>
      <c r="D6" s="73">
        <v>22500</v>
      </c>
      <c r="E6" s="73">
        <v>22500</v>
      </c>
      <c r="F6" s="73">
        <v>22500</v>
      </c>
    </row>
    <row r="7" spans="1:6" x14ac:dyDescent="0.2">
      <c r="A7" s="51"/>
      <c r="B7" s="6" t="s">
        <v>1007</v>
      </c>
      <c r="C7" s="24">
        <f>SUM(C6)</f>
        <v>22500</v>
      </c>
      <c r="D7" s="69">
        <f>SUM(D6)</f>
        <v>22500</v>
      </c>
      <c r="E7" s="69">
        <f>SUM(E6)</f>
        <v>22500</v>
      </c>
      <c r="F7" s="69">
        <f>SUM(F6)</f>
        <v>22500</v>
      </c>
    </row>
    <row r="8" spans="1:6" x14ac:dyDescent="0.2">
      <c r="A8" s="51"/>
      <c r="C8" s="8"/>
      <c r="D8" s="66"/>
      <c r="E8" s="66"/>
      <c r="F8" s="66"/>
    </row>
    <row r="9" spans="1:6" x14ac:dyDescent="0.2">
      <c r="A9" s="52">
        <v>890.34</v>
      </c>
      <c r="B9" s="4" t="s">
        <v>151</v>
      </c>
      <c r="C9" s="8"/>
      <c r="D9" s="66"/>
      <c r="E9" s="66"/>
      <c r="F9" s="66"/>
    </row>
    <row r="10" spans="1:6" x14ac:dyDescent="0.2">
      <c r="A10" s="52" t="s">
        <v>1203</v>
      </c>
      <c r="B10" s="253" t="s">
        <v>2294</v>
      </c>
      <c r="C10" s="15">
        <v>1773.67</v>
      </c>
      <c r="D10" s="72">
        <v>1905.79</v>
      </c>
      <c r="E10" s="72">
        <v>2000</v>
      </c>
      <c r="F10" s="72">
        <v>2000</v>
      </c>
    </row>
    <row r="11" spans="1:6" x14ac:dyDescent="0.2">
      <c r="A11" s="52" t="s">
        <v>1204</v>
      </c>
      <c r="B11" s="253" t="s">
        <v>1872</v>
      </c>
      <c r="C11" s="232">
        <v>0</v>
      </c>
      <c r="D11" s="233">
        <v>0</v>
      </c>
      <c r="E11" s="233">
        <v>0</v>
      </c>
      <c r="F11" s="233">
        <v>0</v>
      </c>
    </row>
    <row r="12" spans="1:6" x14ac:dyDescent="0.2">
      <c r="A12" s="52" t="s">
        <v>1754</v>
      </c>
      <c r="B12" s="253" t="s">
        <v>2295</v>
      </c>
      <c r="C12" s="12">
        <v>14000</v>
      </c>
      <c r="D12" s="63">
        <v>13930</v>
      </c>
      <c r="E12" s="63">
        <v>12000</v>
      </c>
      <c r="F12" s="63">
        <v>12000</v>
      </c>
    </row>
    <row r="13" spans="1:6" x14ac:dyDescent="0.2">
      <c r="A13" s="51"/>
      <c r="B13" s="6" t="s">
        <v>1007</v>
      </c>
      <c r="C13" s="24">
        <f>SUM(C10:C12)</f>
        <v>15773.67</v>
      </c>
      <c r="D13" s="24">
        <f>SUM(D10:D12)</f>
        <v>15835.79</v>
      </c>
      <c r="E13" s="24">
        <f>SUM(E10:E12)</f>
        <v>14000</v>
      </c>
      <c r="F13" s="24">
        <f>SUM(F10:F12)</f>
        <v>14000</v>
      </c>
    </row>
    <row r="14" spans="1:6" x14ac:dyDescent="0.2">
      <c r="A14" s="51" t="s">
        <v>1410</v>
      </c>
      <c r="C14" s="8"/>
      <c r="D14" s="66"/>
      <c r="E14" s="66"/>
      <c r="F14" s="66"/>
    </row>
    <row r="15" spans="1:6" x14ac:dyDescent="0.2">
      <c r="A15" s="52">
        <v>890.35</v>
      </c>
      <c r="B15" s="4" t="s">
        <v>656</v>
      </c>
      <c r="C15" s="8"/>
      <c r="D15" s="66"/>
      <c r="E15" s="66"/>
      <c r="F15" s="66"/>
    </row>
    <row r="16" spans="1:6" x14ac:dyDescent="0.2">
      <c r="A16" s="51" t="s">
        <v>1206</v>
      </c>
      <c r="B16" s="253" t="s">
        <v>2296</v>
      </c>
      <c r="C16" s="8">
        <v>6754.18</v>
      </c>
      <c r="D16" s="66">
        <v>15505.61</v>
      </c>
      <c r="E16" s="66">
        <v>2000</v>
      </c>
      <c r="F16" s="66">
        <v>3000</v>
      </c>
    </row>
    <row r="17" spans="1:9" x14ac:dyDescent="0.2">
      <c r="A17" s="52" t="s">
        <v>1205</v>
      </c>
      <c r="B17" s="254" t="s">
        <v>1872</v>
      </c>
      <c r="C17" s="12">
        <v>0</v>
      </c>
      <c r="D17" s="63">
        <v>0</v>
      </c>
      <c r="E17" s="63">
        <v>0</v>
      </c>
      <c r="F17" s="63">
        <v>0</v>
      </c>
    </row>
    <row r="18" spans="1:9" x14ac:dyDescent="0.2">
      <c r="A18" s="51"/>
      <c r="B18" s="6" t="s">
        <v>1007</v>
      </c>
      <c r="C18" s="24">
        <f>SUM(C16:C17)</f>
        <v>6754.18</v>
      </c>
      <c r="D18" s="69">
        <f>SUM(D16:D17)</f>
        <v>15505.61</v>
      </c>
      <c r="E18" s="69">
        <f>SUM(E16:E17)</f>
        <v>2000</v>
      </c>
      <c r="F18" s="69">
        <f>SUM(F16:F17)</f>
        <v>3000</v>
      </c>
    </row>
    <row r="19" spans="1:9" x14ac:dyDescent="0.2">
      <c r="A19" s="51"/>
      <c r="C19" s="8"/>
      <c r="D19" s="66"/>
      <c r="E19" s="66"/>
      <c r="F19" s="66"/>
    </row>
    <row r="20" spans="1:9" x14ac:dyDescent="0.2">
      <c r="A20" s="52">
        <v>890.36</v>
      </c>
      <c r="B20" s="31" t="s">
        <v>1557</v>
      </c>
      <c r="C20" s="8"/>
      <c r="D20" s="66"/>
      <c r="E20" s="66"/>
      <c r="F20" s="66"/>
    </row>
    <row r="21" spans="1:9" x14ac:dyDescent="0.2">
      <c r="A21" s="51" t="s">
        <v>1207</v>
      </c>
      <c r="B21" s="253" t="s">
        <v>1746</v>
      </c>
      <c r="C21" s="23">
        <v>1893.81</v>
      </c>
      <c r="D21" s="73">
        <v>1871.45</v>
      </c>
      <c r="E21" s="73">
        <v>1000</v>
      </c>
      <c r="F21" s="73">
        <v>1000</v>
      </c>
    </row>
    <row r="22" spans="1:9" x14ac:dyDescent="0.2">
      <c r="A22" s="51"/>
      <c r="B22" s="6" t="s">
        <v>1007</v>
      </c>
      <c r="C22" s="24">
        <f>SUM(C21)</f>
        <v>1893.81</v>
      </c>
      <c r="D22" s="69">
        <f>SUM(D21)</f>
        <v>1871.45</v>
      </c>
      <c r="E22" s="69">
        <f>SUM(E21)</f>
        <v>1000</v>
      </c>
      <c r="F22" s="69">
        <f>SUM(F21)</f>
        <v>1000</v>
      </c>
    </row>
    <row r="23" spans="1:9" x14ac:dyDescent="0.2">
      <c r="A23" s="51"/>
      <c r="C23" s="8"/>
      <c r="D23" s="66"/>
      <c r="E23" s="66"/>
      <c r="F23" s="66"/>
    </row>
    <row r="24" spans="1:9" ht="13.5" thickBot="1" x14ac:dyDescent="0.25">
      <c r="A24" s="51"/>
      <c r="B24" s="6" t="s">
        <v>129</v>
      </c>
      <c r="C24" s="17">
        <f>C7+C13+C18+C22</f>
        <v>46921.659999999996</v>
      </c>
      <c r="D24" s="71">
        <f>D7+D13+D18+D22</f>
        <v>55712.85</v>
      </c>
      <c r="E24" s="71">
        <f>E7+E13+E18+E22</f>
        <v>39500</v>
      </c>
      <c r="F24" s="71">
        <f>F7+F13+F18+F22</f>
        <v>40500</v>
      </c>
    </row>
    <row r="25" spans="1:9" ht="13.5" thickTop="1" x14ac:dyDescent="0.2">
      <c r="A25" s="51"/>
      <c r="B25" s="6"/>
      <c r="C25" s="15"/>
      <c r="D25" s="72"/>
      <c r="E25" s="72"/>
      <c r="F25" s="72"/>
    </row>
    <row r="26" spans="1:9" ht="12" customHeight="1" x14ac:dyDescent="0.2">
      <c r="A26" s="18" t="s">
        <v>1410</v>
      </c>
      <c r="B26" s="4" t="s">
        <v>844</v>
      </c>
    </row>
    <row r="27" spans="1:9" ht="12" customHeight="1" x14ac:dyDescent="0.2">
      <c r="A27" s="18"/>
      <c r="B27" s="4"/>
    </row>
    <row r="28" spans="1:9" x14ac:dyDescent="0.2">
      <c r="A28" s="18" t="s">
        <v>20</v>
      </c>
      <c r="B28" s="4" t="s">
        <v>152</v>
      </c>
    </row>
    <row r="29" spans="1:9" x14ac:dyDescent="0.2">
      <c r="A29" s="18" t="s">
        <v>21</v>
      </c>
      <c r="B29" s="254" t="s">
        <v>2297</v>
      </c>
      <c r="C29" s="8">
        <v>2999.88</v>
      </c>
      <c r="D29" s="66">
        <v>1254.25</v>
      </c>
      <c r="E29" s="66">
        <v>0</v>
      </c>
      <c r="F29" s="66">
        <v>0</v>
      </c>
    </row>
    <row r="30" spans="1:9" x14ac:dyDescent="0.2">
      <c r="A30" s="18" t="s">
        <v>197</v>
      </c>
      <c r="B30" s="254" t="s">
        <v>2298</v>
      </c>
      <c r="C30" s="10">
        <v>0</v>
      </c>
      <c r="D30" s="67">
        <v>3683.16</v>
      </c>
      <c r="E30" s="67">
        <v>5000</v>
      </c>
      <c r="F30" s="67">
        <v>5000</v>
      </c>
      <c r="G30" s="62"/>
      <c r="H30" s="62"/>
      <c r="I30" s="62"/>
    </row>
    <row r="31" spans="1:9" x14ac:dyDescent="0.2">
      <c r="A31" s="18" t="s">
        <v>22</v>
      </c>
      <c r="B31" s="254" t="s">
        <v>1895</v>
      </c>
      <c r="C31" s="10">
        <v>1826.68</v>
      </c>
      <c r="D31" s="67">
        <v>1727.5</v>
      </c>
      <c r="E31" s="67">
        <v>8500</v>
      </c>
      <c r="F31" s="67">
        <v>8500</v>
      </c>
      <c r="G31" s="62"/>
      <c r="H31" s="62"/>
      <c r="I31" s="62"/>
    </row>
    <row r="32" spans="1:9" x14ac:dyDescent="0.2">
      <c r="A32" s="18" t="s">
        <v>23</v>
      </c>
      <c r="B32" s="254" t="s">
        <v>1899</v>
      </c>
      <c r="C32" s="10">
        <v>0</v>
      </c>
      <c r="D32" s="67">
        <v>15.88</v>
      </c>
      <c r="E32" s="67">
        <v>500</v>
      </c>
      <c r="F32" s="67">
        <v>500</v>
      </c>
      <c r="G32" s="62"/>
      <c r="H32" s="62"/>
      <c r="I32" s="62"/>
    </row>
    <row r="33" spans="1:6" x14ac:dyDescent="0.2">
      <c r="A33" s="18" t="s">
        <v>24</v>
      </c>
      <c r="B33" s="254" t="s">
        <v>1902</v>
      </c>
      <c r="C33" s="10">
        <v>0</v>
      </c>
      <c r="D33" s="67">
        <v>0</v>
      </c>
      <c r="E33" s="67">
        <v>0</v>
      </c>
      <c r="F33" s="67">
        <v>0</v>
      </c>
    </row>
    <row r="34" spans="1:6" x14ac:dyDescent="0.2">
      <c r="A34" s="18" t="s">
        <v>25</v>
      </c>
      <c r="B34" s="254" t="s">
        <v>1882</v>
      </c>
      <c r="C34" s="10">
        <v>4081.34</v>
      </c>
      <c r="D34" s="67">
        <v>7283.87</v>
      </c>
      <c r="E34" s="67">
        <v>13000</v>
      </c>
      <c r="F34" s="67">
        <v>13000</v>
      </c>
    </row>
    <row r="35" spans="1:6" x14ac:dyDescent="0.2">
      <c r="A35" s="18" t="s">
        <v>26</v>
      </c>
      <c r="B35" s="254" t="s">
        <v>1904</v>
      </c>
      <c r="C35" s="12">
        <v>0</v>
      </c>
      <c r="D35" s="63">
        <v>0</v>
      </c>
      <c r="E35" s="63">
        <v>5000</v>
      </c>
      <c r="F35" s="63">
        <v>5000</v>
      </c>
    </row>
    <row r="36" spans="1:6" x14ac:dyDescent="0.2">
      <c r="A36" s="18"/>
      <c r="B36" s="6" t="s">
        <v>1007</v>
      </c>
      <c r="C36" s="24">
        <f>SUM(C29:C35)</f>
        <v>8907.9000000000015</v>
      </c>
      <c r="D36" s="69">
        <f>SUM(D29:D35)</f>
        <v>13964.66</v>
      </c>
      <c r="E36" s="69">
        <f>SUM(E29:E35)</f>
        <v>32000</v>
      </c>
      <c r="F36" s="69">
        <f>SUM(F29:F35)</f>
        <v>32000</v>
      </c>
    </row>
    <row r="37" spans="1:6" x14ac:dyDescent="0.2">
      <c r="A37" s="18"/>
      <c r="B37" s="6"/>
      <c r="C37" s="15"/>
      <c r="D37" s="72"/>
      <c r="E37" s="72"/>
      <c r="F37" s="72"/>
    </row>
    <row r="38" spans="1:6" x14ac:dyDescent="0.2">
      <c r="A38" s="18" t="s">
        <v>27</v>
      </c>
      <c r="B38" s="4" t="s">
        <v>153</v>
      </c>
    </row>
    <row r="39" spans="1:6" x14ac:dyDescent="0.2">
      <c r="A39" s="61" t="s">
        <v>1807</v>
      </c>
      <c r="B39" s="254" t="s">
        <v>2297</v>
      </c>
      <c r="C39" s="8">
        <v>0</v>
      </c>
      <c r="D39" s="66">
        <v>0</v>
      </c>
      <c r="E39" s="66">
        <v>8000</v>
      </c>
      <c r="F39" s="66">
        <v>7500</v>
      </c>
    </row>
    <row r="40" spans="1:6" x14ac:dyDescent="0.2">
      <c r="A40" s="18" t="s">
        <v>28</v>
      </c>
      <c r="B40" s="254" t="s">
        <v>1899</v>
      </c>
      <c r="C40" s="10">
        <v>0</v>
      </c>
      <c r="D40" s="10">
        <v>0</v>
      </c>
      <c r="E40" s="10">
        <v>1000</v>
      </c>
      <c r="F40" s="10">
        <v>1000</v>
      </c>
    </row>
    <row r="41" spans="1:6" x14ac:dyDescent="0.2">
      <c r="A41" s="18" t="s">
        <v>29</v>
      </c>
      <c r="B41" s="254" t="s">
        <v>1882</v>
      </c>
      <c r="C41" s="10">
        <v>13796.39</v>
      </c>
      <c r="D41" s="67">
        <v>25628.12</v>
      </c>
      <c r="E41" s="67">
        <v>13000</v>
      </c>
      <c r="F41" s="67">
        <v>13000</v>
      </c>
    </row>
    <row r="42" spans="1:6" x14ac:dyDescent="0.2">
      <c r="A42" s="18" t="s">
        <v>31</v>
      </c>
      <c r="B42" s="254" t="s">
        <v>1904</v>
      </c>
      <c r="C42" s="10">
        <v>0</v>
      </c>
      <c r="D42" s="67">
        <v>0</v>
      </c>
      <c r="E42" s="67">
        <v>0</v>
      </c>
      <c r="F42" s="67">
        <v>0</v>
      </c>
    </row>
    <row r="43" spans="1:6" x14ac:dyDescent="0.2">
      <c r="A43" s="18" t="s">
        <v>32</v>
      </c>
      <c r="B43" s="254" t="s">
        <v>2005</v>
      </c>
      <c r="C43" s="10">
        <v>0</v>
      </c>
      <c r="D43" s="67">
        <v>0</v>
      </c>
      <c r="E43" s="67">
        <v>0</v>
      </c>
      <c r="F43" s="67">
        <v>0</v>
      </c>
    </row>
    <row r="44" spans="1:6" x14ac:dyDescent="0.2">
      <c r="A44" s="18" t="s">
        <v>30</v>
      </c>
      <c r="B44" s="254" t="s">
        <v>2299</v>
      </c>
      <c r="C44" s="10">
        <v>0</v>
      </c>
      <c r="D44" s="67">
        <v>0</v>
      </c>
      <c r="E44" s="67">
        <v>0</v>
      </c>
      <c r="F44" s="67">
        <v>0</v>
      </c>
    </row>
    <row r="45" spans="1:6" x14ac:dyDescent="0.2">
      <c r="A45" s="18"/>
      <c r="B45" s="6" t="s">
        <v>1007</v>
      </c>
      <c r="C45" s="24">
        <f>SUM(C40:C44)</f>
        <v>13796.39</v>
      </c>
      <c r="D45" s="69">
        <f>SUM(D40:D44)</f>
        <v>25628.12</v>
      </c>
      <c r="E45" s="69">
        <f>SUM(E39:E44)</f>
        <v>22000</v>
      </c>
      <c r="F45" s="69">
        <f>SUM(F39:F44)</f>
        <v>21500</v>
      </c>
    </row>
    <row r="46" spans="1:6" x14ac:dyDescent="0.2">
      <c r="A46" s="18"/>
      <c r="B46" s="6"/>
      <c r="C46" s="15"/>
      <c r="D46" s="72"/>
      <c r="E46" s="72"/>
      <c r="F46" s="72"/>
    </row>
    <row r="47" spans="1:6" x14ac:dyDescent="0.2">
      <c r="A47" s="18" t="s">
        <v>277</v>
      </c>
      <c r="B47" s="38" t="s">
        <v>154</v>
      </c>
    </row>
    <row r="48" spans="1:6" x14ac:dyDescent="0.2">
      <c r="A48" s="18" t="s">
        <v>278</v>
      </c>
      <c r="B48" s="254" t="s">
        <v>2164</v>
      </c>
      <c r="C48" s="8">
        <v>22500</v>
      </c>
      <c r="D48" s="66">
        <v>22500</v>
      </c>
      <c r="E48" s="66">
        <v>22500</v>
      </c>
      <c r="F48" s="66">
        <v>22500</v>
      </c>
    </row>
    <row r="49" spans="1:6" x14ac:dyDescent="0.2">
      <c r="A49" s="18" t="s">
        <v>294</v>
      </c>
      <c r="B49" s="254" t="s">
        <v>1895</v>
      </c>
      <c r="C49" s="10">
        <v>0</v>
      </c>
      <c r="D49" s="67">
        <v>0</v>
      </c>
      <c r="E49" s="67">
        <v>0</v>
      </c>
      <c r="F49" s="67">
        <v>0</v>
      </c>
    </row>
    <row r="50" spans="1:6" x14ac:dyDescent="0.2">
      <c r="A50" s="18" t="s">
        <v>295</v>
      </c>
      <c r="B50" s="254" t="s">
        <v>1896</v>
      </c>
      <c r="C50" s="10">
        <v>0</v>
      </c>
      <c r="D50" s="67">
        <v>0</v>
      </c>
      <c r="E50" s="67">
        <v>0</v>
      </c>
      <c r="F50" s="67">
        <v>0</v>
      </c>
    </row>
    <row r="51" spans="1:6" x14ac:dyDescent="0.2">
      <c r="A51" s="18" t="s">
        <v>296</v>
      </c>
      <c r="B51" s="254" t="s">
        <v>1897</v>
      </c>
      <c r="C51" s="10">
        <v>0</v>
      </c>
      <c r="D51" s="67">
        <v>0</v>
      </c>
      <c r="E51" s="67">
        <v>0</v>
      </c>
      <c r="F51" s="67">
        <v>0</v>
      </c>
    </row>
    <row r="52" spans="1:6" x14ac:dyDescent="0.2">
      <c r="A52" s="18" t="s">
        <v>1410</v>
      </c>
      <c r="B52" s="6" t="s">
        <v>1007</v>
      </c>
      <c r="C52" s="24">
        <f>SUM(C48:C51)</f>
        <v>22500</v>
      </c>
      <c r="D52" s="69">
        <f>SUM(D48:D51)</f>
        <v>22500</v>
      </c>
      <c r="E52" s="69">
        <f>SUM(E48:E51)</f>
        <v>22500</v>
      </c>
      <c r="F52" s="69">
        <f>SUM(F48:F51)</f>
        <v>22500</v>
      </c>
    </row>
    <row r="53" spans="1:6" x14ac:dyDescent="0.2">
      <c r="A53" s="18"/>
      <c r="B53" s="6"/>
      <c r="C53" s="36"/>
      <c r="D53" s="93"/>
      <c r="E53" s="93"/>
      <c r="F53" s="93"/>
    </row>
    <row r="54" spans="1:6" x14ac:dyDescent="0.2">
      <c r="A54" s="61" t="s">
        <v>1798</v>
      </c>
      <c r="B54" s="239" t="s">
        <v>1799</v>
      </c>
    </row>
    <row r="55" spans="1:6" x14ac:dyDescent="0.2">
      <c r="A55" s="61" t="s">
        <v>1800</v>
      </c>
      <c r="B55" s="254" t="s">
        <v>2300</v>
      </c>
      <c r="C55" s="8">
        <v>0</v>
      </c>
      <c r="D55" s="66">
        <v>0</v>
      </c>
      <c r="E55" s="66">
        <v>5000</v>
      </c>
      <c r="F55" s="66">
        <v>5000</v>
      </c>
    </row>
    <row r="56" spans="1:6" x14ac:dyDescent="0.2">
      <c r="A56" s="18" t="s">
        <v>1410</v>
      </c>
      <c r="B56" s="6" t="s">
        <v>1007</v>
      </c>
      <c r="C56" s="24">
        <f>SUM(C55:C55)</f>
        <v>0</v>
      </c>
      <c r="D56" s="69">
        <f>SUM(D55:D55)</f>
        <v>0</v>
      </c>
      <c r="E56" s="69">
        <f>SUM(E55:E55)</f>
        <v>5000</v>
      </c>
      <c r="F56" s="69">
        <f>SUM(F55:F55)</f>
        <v>5000</v>
      </c>
    </row>
    <row r="57" spans="1:6" x14ac:dyDescent="0.2">
      <c r="A57" s="18"/>
      <c r="B57" s="6"/>
      <c r="C57" s="36"/>
      <c r="D57" s="93"/>
      <c r="E57" s="93"/>
      <c r="F57" s="93"/>
    </row>
    <row r="58" spans="1:6" ht="13.5" thickBot="1" x14ac:dyDescent="0.25">
      <c r="A58" s="18"/>
      <c r="B58" s="6" t="s">
        <v>1319</v>
      </c>
      <c r="C58" s="14">
        <f>C36+C45+C52</f>
        <v>45204.29</v>
      </c>
      <c r="D58" s="78">
        <f>D36+D45+D52</f>
        <v>62092.78</v>
      </c>
      <c r="E58" s="78">
        <f>E36+E45+E52+E56</f>
        <v>81500</v>
      </c>
      <c r="F58" s="78">
        <f>F36+F45+F52+F56</f>
        <v>81000</v>
      </c>
    </row>
    <row r="59" spans="1:6" ht="13.5" thickTop="1" x14ac:dyDescent="0.2">
      <c r="A59" s="18"/>
      <c r="B59" s="6"/>
      <c r="C59" s="15"/>
      <c r="D59" s="72"/>
      <c r="E59" s="72"/>
      <c r="F59" s="72"/>
    </row>
    <row r="60" spans="1:6" x14ac:dyDescent="0.2">
      <c r="A60" s="18"/>
      <c r="B60" s="4" t="s">
        <v>638</v>
      </c>
      <c r="C60" s="45"/>
      <c r="D60" s="117"/>
      <c r="E60" s="117"/>
      <c r="F60" s="117"/>
    </row>
    <row r="61" spans="1:6" x14ac:dyDescent="0.2">
      <c r="A61" s="18"/>
      <c r="B61" s="4" t="s">
        <v>19</v>
      </c>
      <c r="C61" s="45"/>
      <c r="D61" s="117"/>
      <c r="E61" s="117"/>
      <c r="F61" s="117"/>
    </row>
    <row r="62" spans="1:6" x14ac:dyDescent="0.2">
      <c r="A62" s="18"/>
      <c r="B62" s="4" t="s">
        <v>1321</v>
      </c>
    </row>
    <row r="63" spans="1:6" x14ac:dyDescent="0.2">
      <c r="A63" s="18"/>
      <c r="C63" s="7" t="str">
        <f>+C4</f>
        <v>2018 ACTUAL</v>
      </c>
      <c r="D63" s="7" t="str">
        <f>+D4</f>
        <v>2019 ACTUAL</v>
      </c>
      <c r="E63" s="7" t="str">
        <f>+E4</f>
        <v>2020 BUDGET</v>
      </c>
      <c r="F63" s="7" t="str">
        <f>+F4</f>
        <v>2021 BUDGET</v>
      </c>
    </row>
    <row r="64" spans="1:6" x14ac:dyDescent="0.2">
      <c r="A64" s="18"/>
      <c r="B64" t="s">
        <v>1322</v>
      </c>
      <c r="C64" s="8">
        <v>212654.25</v>
      </c>
      <c r="D64" s="66">
        <f>C72</f>
        <v>214371.62</v>
      </c>
      <c r="E64" s="66">
        <f>D72</f>
        <v>207991.68999999997</v>
      </c>
      <c r="F64" s="66">
        <f>E72</f>
        <v>165991.68999999997</v>
      </c>
    </row>
    <row r="65" spans="1:6" x14ac:dyDescent="0.2">
      <c r="A65" s="18"/>
      <c r="C65" s="10"/>
      <c r="D65" s="67"/>
      <c r="E65" s="67"/>
      <c r="F65" s="67"/>
    </row>
    <row r="66" spans="1:6" x14ac:dyDescent="0.2">
      <c r="A66" s="18"/>
      <c r="B66" t="s">
        <v>106</v>
      </c>
      <c r="C66" s="9">
        <f>C24</f>
        <v>46921.659999999996</v>
      </c>
      <c r="D66" s="81">
        <f>D24</f>
        <v>55712.85</v>
      </c>
      <c r="E66" s="81">
        <f>E24</f>
        <v>39500</v>
      </c>
      <c r="F66" s="81">
        <f>F24</f>
        <v>40500</v>
      </c>
    </row>
    <row r="67" spans="1:6" x14ac:dyDescent="0.2">
      <c r="A67" s="18"/>
      <c r="C67" s="50"/>
      <c r="D67" s="91"/>
      <c r="E67" s="91"/>
      <c r="F67" s="91"/>
    </row>
    <row r="68" spans="1:6" x14ac:dyDescent="0.2">
      <c r="A68" s="18"/>
      <c r="B68" t="s">
        <v>1404</v>
      </c>
      <c r="C68" s="30">
        <f>C58</f>
        <v>45204.29</v>
      </c>
      <c r="D68" s="60">
        <f>D58</f>
        <v>62092.78</v>
      </c>
      <c r="E68" s="60">
        <f>E58</f>
        <v>81500</v>
      </c>
      <c r="F68" s="60">
        <f>F58</f>
        <v>81000</v>
      </c>
    </row>
    <row r="69" spans="1:6" x14ac:dyDescent="0.2">
      <c r="A69" s="18"/>
      <c r="C69" s="50"/>
      <c r="D69" s="91"/>
      <c r="E69" s="91"/>
      <c r="F69" s="91"/>
    </row>
    <row r="70" spans="1:6" x14ac:dyDescent="0.2">
      <c r="A70" s="18"/>
      <c r="B70" t="s">
        <v>1121</v>
      </c>
      <c r="C70" s="12">
        <v>0</v>
      </c>
      <c r="D70" s="63">
        <v>0</v>
      </c>
      <c r="E70" s="63">
        <v>0</v>
      </c>
      <c r="F70" s="63">
        <v>0</v>
      </c>
    </row>
    <row r="71" spans="1:6" x14ac:dyDescent="0.2">
      <c r="A71" s="18"/>
    </row>
    <row r="72" spans="1:6" ht="13.5" thickBot="1" x14ac:dyDescent="0.25">
      <c r="A72" s="18"/>
      <c r="B72" t="s">
        <v>1326</v>
      </c>
      <c r="C72" s="17">
        <f>C64+C66-C68+C70</f>
        <v>214371.62</v>
      </c>
      <c r="D72" s="71">
        <f>D64+D66-D68+D70</f>
        <v>207991.68999999997</v>
      </c>
      <c r="E72" s="71">
        <f>E64+E66-E68+E70</f>
        <v>165991.68999999997</v>
      </c>
      <c r="F72" s="71">
        <f>F64+F66-F68+F70</f>
        <v>125491.68999999997</v>
      </c>
    </row>
    <row r="73" spans="1:6" ht="13.5" thickTop="1" x14ac:dyDescent="0.2">
      <c r="A73" s="51"/>
    </row>
    <row r="74" spans="1:6" x14ac:dyDescent="0.2">
      <c r="C74" s="9"/>
    </row>
    <row r="75" spans="1:6" x14ac:dyDescent="0.2">
      <c r="C75" s="9"/>
      <c r="D75" s="81"/>
    </row>
    <row r="148" spans="3:6" x14ac:dyDescent="0.2">
      <c r="C148" s="9"/>
      <c r="D148" s="81"/>
      <c r="E148" s="81"/>
      <c r="F148" s="81"/>
    </row>
  </sheetData>
  <phoneticPr fontId="2" type="noConversion"/>
  <pageMargins left="0.5" right="0.5" top="1" bottom="1" header="0.5" footer="0.5"/>
  <pageSetup scale="85" firstPageNumber="63" orientation="portrait" useFirstPageNumber="1" r:id="rId1"/>
  <headerFooter alignWithMargins="0">
    <oddFooter>&amp;C&amp;P</oddFooter>
  </headerFooter>
  <rowBreaks count="1" manualBreakCount="1">
    <brk id="59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M60"/>
  <sheetViews>
    <sheetView zoomScaleNormal="100" workbookViewId="0">
      <selection activeCell="G18" sqref="G18"/>
    </sheetView>
  </sheetViews>
  <sheetFormatPr defaultRowHeight="12.75" x14ac:dyDescent="0.2"/>
  <cols>
    <col min="1" max="1" width="37.42578125" bestFit="1" customWidth="1"/>
    <col min="2" max="2" width="7.7109375" customWidth="1"/>
    <col min="3" max="3" width="14.7109375" customWidth="1"/>
    <col min="4" max="4" width="14.7109375" hidden="1" customWidth="1"/>
    <col min="5" max="6" width="14.7109375" customWidth="1"/>
    <col min="7" max="7" width="43.140625" style="39" customWidth="1"/>
    <col min="9" max="9" width="2.7109375" bestFit="1" customWidth="1"/>
    <col min="10" max="10" width="14" style="207" bestFit="1" customWidth="1"/>
    <col min="13" max="13" width="14.7109375" customWidth="1"/>
  </cols>
  <sheetData>
    <row r="1" spans="1:11" x14ac:dyDescent="0.2">
      <c r="A1" s="4" t="s">
        <v>1410</v>
      </c>
      <c r="B1" s="53"/>
    </row>
    <row r="2" spans="1:11" x14ac:dyDescent="0.2">
      <c r="A2" s="4" t="s">
        <v>9</v>
      </c>
      <c r="B2" s="53"/>
    </row>
    <row r="3" spans="1:11" x14ac:dyDescent="0.2">
      <c r="A3" s="88"/>
      <c r="B3" s="189"/>
    </row>
    <row r="4" spans="1:11" ht="7.5" customHeight="1" x14ac:dyDescent="0.2">
      <c r="A4" s="4"/>
      <c r="B4" s="53"/>
    </row>
    <row r="5" spans="1:11" x14ac:dyDescent="0.2">
      <c r="A5" s="4" t="s">
        <v>155</v>
      </c>
      <c r="B5" s="1" t="s">
        <v>156</v>
      </c>
      <c r="C5" s="1" t="s">
        <v>1784</v>
      </c>
      <c r="E5" s="1" t="s">
        <v>1827</v>
      </c>
      <c r="F5" s="1" t="s">
        <v>157</v>
      </c>
    </row>
    <row r="6" spans="1:11" x14ac:dyDescent="0.2">
      <c r="A6" t="s">
        <v>413</v>
      </c>
      <c r="B6" s="53">
        <v>100</v>
      </c>
      <c r="C6" s="10">
        <f>+'100-Genl'!E112</f>
        <v>21292046</v>
      </c>
      <c r="E6" s="10">
        <f>'100-Genl'!F112</f>
        <v>21490680.255520102</v>
      </c>
      <c r="F6" s="9">
        <f>E6-C6</f>
        <v>198634.25552010164</v>
      </c>
      <c r="G6" s="289"/>
      <c r="K6" s="10"/>
    </row>
    <row r="7" spans="1:11" x14ac:dyDescent="0.2">
      <c r="A7" t="s">
        <v>414</v>
      </c>
      <c r="B7" s="53">
        <v>110</v>
      </c>
      <c r="C7" s="9">
        <f>+'110-Jury'!E13</f>
        <v>222792</v>
      </c>
      <c r="D7" s="10"/>
      <c r="E7" s="9">
        <f>'110-Jury'!F13</f>
        <v>244402.63785576884</v>
      </c>
      <c r="F7" s="9">
        <f>E7-C7</f>
        <v>21610.637855768844</v>
      </c>
      <c r="G7" s="33"/>
      <c r="K7" s="10"/>
    </row>
    <row r="8" spans="1:11" x14ac:dyDescent="0.2">
      <c r="A8" s="39" t="s">
        <v>1760</v>
      </c>
      <c r="B8" s="53">
        <v>130</v>
      </c>
      <c r="C8" s="9">
        <f>+'130-Protested Ppty Tax'!E25</f>
        <v>0</v>
      </c>
      <c r="D8" s="10"/>
      <c r="E8" s="9">
        <f>+'130-Protested Ppty Tax'!F9</f>
        <v>0</v>
      </c>
      <c r="F8" s="9">
        <f>E8-C8</f>
        <v>0</v>
      </c>
      <c r="G8" s="33"/>
      <c r="K8" s="10"/>
    </row>
    <row r="9" spans="1:11" x14ac:dyDescent="0.2">
      <c r="A9" t="s">
        <v>415</v>
      </c>
      <c r="B9" s="53">
        <v>140</v>
      </c>
      <c r="C9" s="9">
        <f>+'140-R &amp; B'!E51</f>
        <v>5255256</v>
      </c>
      <c r="D9" s="10"/>
      <c r="E9" s="8">
        <f>'140-R &amp; B'!F51</f>
        <v>5745697.9461868946</v>
      </c>
      <c r="F9" s="9">
        <f t="shared" ref="F9:F18" si="0">E9-C9</f>
        <v>490441.94618689455</v>
      </c>
      <c r="K9" s="10"/>
    </row>
    <row r="10" spans="1:11" x14ac:dyDescent="0.2">
      <c r="A10" t="s">
        <v>819</v>
      </c>
      <c r="B10" s="53">
        <v>180</v>
      </c>
      <c r="C10" s="10">
        <f>+'180-Emer Mgm'!E26</f>
        <v>12</v>
      </c>
      <c r="D10" s="16"/>
      <c r="E10" s="15">
        <f>'180-Emer Mgm'!F11</f>
        <v>12</v>
      </c>
      <c r="F10" s="9">
        <f t="shared" si="0"/>
        <v>0</v>
      </c>
      <c r="G10" s="103"/>
      <c r="I10" s="16"/>
      <c r="K10" s="10"/>
    </row>
    <row r="11" spans="1:11" x14ac:dyDescent="0.2">
      <c r="A11" s="105" t="s">
        <v>1808</v>
      </c>
      <c r="B11" s="53">
        <v>240</v>
      </c>
      <c r="C11" s="10">
        <f>+'240-Airport'!E47</f>
        <v>211348</v>
      </c>
      <c r="D11" s="16"/>
      <c r="E11" s="15">
        <f>+'240-Airport'!F21</f>
        <v>193296.10810997593</v>
      </c>
      <c r="F11" s="9">
        <f t="shared" si="0"/>
        <v>-18051.891890024068</v>
      </c>
      <c r="G11" s="103"/>
      <c r="I11" s="16"/>
      <c r="K11" s="10"/>
    </row>
    <row r="12" spans="1:11" x14ac:dyDescent="0.2">
      <c r="A12" t="s">
        <v>1703</v>
      </c>
      <c r="B12" s="53">
        <v>280</v>
      </c>
      <c r="C12" s="10">
        <f>+'280-Capital Murder'!E24</f>
        <v>500</v>
      </c>
      <c r="D12" s="16"/>
      <c r="E12" s="15">
        <f>'280-Capital Murder'!F9</f>
        <v>500</v>
      </c>
      <c r="F12" s="9">
        <f t="shared" si="0"/>
        <v>0</v>
      </c>
      <c r="G12" s="103"/>
      <c r="I12" s="16"/>
      <c r="K12" s="10"/>
    </row>
    <row r="13" spans="1:11" x14ac:dyDescent="0.2">
      <c r="A13" t="s">
        <v>416</v>
      </c>
      <c r="B13" s="53">
        <v>450</v>
      </c>
      <c r="C13" s="9">
        <f>+'450-Juv Svcs'!E88</f>
        <v>1319233</v>
      </c>
      <c r="D13" s="10"/>
      <c r="E13" s="8">
        <f>'450-Juv Svcs'!F33</f>
        <v>1276984.5946739768</v>
      </c>
      <c r="F13" s="9">
        <f t="shared" si="0"/>
        <v>-42248.405326023232</v>
      </c>
      <c r="K13" s="10"/>
    </row>
    <row r="14" spans="1:11" hidden="1" x14ac:dyDescent="0.2">
      <c r="A14" t="s">
        <v>417</v>
      </c>
      <c r="B14" s="53">
        <v>470</v>
      </c>
      <c r="C14" s="9">
        <v>0</v>
      </c>
      <c r="D14" s="10"/>
      <c r="E14" s="8">
        <f>'470-Boot Camp'!E13</f>
        <v>0</v>
      </c>
      <c r="F14" s="9">
        <f t="shared" si="0"/>
        <v>0</v>
      </c>
      <c r="K14" s="10"/>
    </row>
    <row r="15" spans="1:11" x14ac:dyDescent="0.2">
      <c r="A15" t="s">
        <v>1139</v>
      </c>
      <c r="B15" s="53">
        <v>610</v>
      </c>
      <c r="C15" s="9">
        <f>+'610-I &amp; S'!E64</f>
        <v>516930</v>
      </c>
      <c r="D15" s="10"/>
      <c r="E15" s="10">
        <f>'610-I &amp; S'!F64</f>
        <v>509487.1027424871</v>
      </c>
      <c r="F15" s="9">
        <f t="shared" si="0"/>
        <v>-7442.897257512901</v>
      </c>
      <c r="K15" s="10"/>
    </row>
    <row r="16" spans="1:11" x14ac:dyDescent="0.2">
      <c r="A16" t="s">
        <v>1140</v>
      </c>
      <c r="B16" s="53">
        <v>710</v>
      </c>
      <c r="C16" s="30">
        <f>+'710-Perm Imp'!E34</f>
        <v>521215</v>
      </c>
      <c r="D16" s="16"/>
      <c r="E16" s="15">
        <f>'710-Perm Imp'!F14</f>
        <v>281584.46488671826</v>
      </c>
      <c r="F16" s="9">
        <f t="shared" si="0"/>
        <v>-239630.53511328174</v>
      </c>
      <c r="K16" s="10"/>
    </row>
    <row r="17" spans="1:11" x14ac:dyDescent="0.2">
      <c r="A17" t="s">
        <v>818</v>
      </c>
      <c r="B17" s="53">
        <v>740</v>
      </c>
      <c r="C17" s="10">
        <f>+'740-Tobacco'!E40</f>
        <v>45500</v>
      </c>
      <c r="D17" s="16"/>
      <c r="E17" s="15">
        <f>'740-Tobacco'!F8</f>
        <v>22500</v>
      </c>
      <c r="F17" s="9">
        <f t="shared" si="0"/>
        <v>-23000</v>
      </c>
      <c r="G17" s="103"/>
      <c r="I17" s="16"/>
      <c r="K17" s="10"/>
    </row>
    <row r="18" spans="1:11" x14ac:dyDescent="0.2">
      <c r="A18" t="s">
        <v>1022</v>
      </c>
      <c r="B18" s="53">
        <v>750</v>
      </c>
      <c r="C18" s="12">
        <f>+'750-CH Maint'!E24</f>
        <v>5010</v>
      </c>
      <c r="D18" s="12"/>
      <c r="E18" s="23">
        <f>'750-CH Maint'!F10</f>
        <v>1500</v>
      </c>
      <c r="F18" s="11">
        <f t="shared" si="0"/>
        <v>-3510</v>
      </c>
      <c r="G18" s="103"/>
      <c r="I18" s="16"/>
      <c r="K18" s="10"/>
    </row>
    <row r="19" spans="1:11" ht="13.5" thickBot="1" x14ac:dyDescent="0.25">
      <c r="A19" s="6" t="s">
        <v>129</v>
      </c>
      <c r="B19" s="53"/>
      <c r="C19" s="17">
        <f>SUM(C6:C18)+2</f>
        <v>29389844</v>
      </c>
      <c r="D19" s="17">
        <f>SUM(D6:D18)</f>
        <v>0</v>
      </c>
      <c r="E19" s="17">
        <f>SUM(E6:E18)</f>
        <v>29766645.109975923</v>
      </c>
      <c r="F19" s="17">
        <f>SUM(F6:F18)</f>
        <v>376803.10997592314</v>
      </c>
    </row>
    <row r="20" spans="1:11" ht="13.5" thickTop="1" x14ac:dyDescent="0.2">
      <c r="A20" t="s">
        <v>1410</v>
      </c>
      <c r="B20" s="53"/>
    </row>
    <row r="21" spans="1:11" x14ac:dyDescent="0.2">
      <c r="A21" s="4" t="s">
        <v>844</v>
      </c>
      <c r="B21" s="53"/>
    </row>
    <row r="22" spans="1:11" x14ac:dyDescent="0.2">
      <c r="A22" t="s">
        <v>413</v>
      </c>
      <c r="B22" s="53">
        <v>100</v>
      </c>
      <c r="C22" s="8">
        <f>+'100-Genl'!E916</f>
        <v>21711706</v>
      </c>
      <c r="E22" s="8">
        <f>'100-Genl'!F904</f>
        <v>23097729.200901758</v>
      </c>
      <c r="F22" s="8">
        <f>+C22-E22</f>
        <v>-1386023.2009017579</v>
      </c>
      <c r="G22" s="219"/>
      <c r="I22" s="8" t="s">
        <v>1410</v>
      </c>
      <c r="K22" s="10"/>
    </row>
    <row r="23" spans="1:11" x14ac:dyDescent="0.2">
      <c r="A23" t="s">
        <v>414</v>
      </c>
      <c r="B23" s="53">
        <v>110</v>
      </c>
      <c r="C23" s="30">
        <f>+'110-Jury'!E44</f>
        <v>240305</v>
      </c>
      <c r="D23" s="16"/>
      <c r="E23" s="15">
        <f>'110-Jury'!F32</f>
        <v>243154</v>
      </c>
      <c r="F23" s="8">
        <f t="shared" ref="F23:F34" si="1">+C23-E23</f>
        <v>-2849</v>
      </c>
      <c r="I23" s="10" t="s">
        <v>1410</v>
      </c>
      <c r="K23" s="10"/>
    </row>
    <row r="24" spans="1:11" x14ac:dyDescent="0.2">
      <c r="A24" s="39" t="s">
        <v>1760</v>
      </c>
      <c r="B24" s="53">
        <v>130</v>
      </c>
      <c r="C24" s="30">
        <f>+'130-Protested Ppty Tax'!E27</f>
        <v>0</v>
      </c>
      <c r="D24" s="16"/>
      <c r="E24" s="30">
        <f>+'130-Protested Ppty Tax'!F15</f>
        <v>0</v>
      </c>
      <c r="F24" s="8">
        <f t="shared" si="1"/>
        <v>0</v>
      </c>
      <c r="I24" s="10"/>
      <c r="K24" s="10"/>
    </row>
    <row r="25" spans="1:11" x14ac:dyDescent="0.2">
      <c r="A25" t="s">
        <v>415</v>
      </c>
      <c r="B25" s="53">
        <v>140</v>
      </c>
      <c r="C25" s="30">
        <f>+'140-R &amp; B'!E129</f>
        <v>5338928.6099999994</v>
      </c>
      <c r="D25" s="16"/>
      <c r="E25" s="15">
        <f>'140-R &amp; B'!F117</f>
        <v>6309672</v>
      </c>
      <c r="F25" s="8">
        <f t="shared" si="1"/>
        <v>-970743.3900000006</v>
      </c>
      <c r="I25" s="10" t="s">
        <v>1410</v>
      </c>
      <c r="K25" s="10"/>
    </row>
    <row r="26" spans="1:11" x14ac:dyDescent="0.2">
      <c r="A26" t="s">
        <v>819</v>
      </c>
      <c r="B26" s="53">
        <v>180</v>
      </c>
      <c r="C26" s="30">
        <f>+'180-Emer Mgm'!E28</f>
        <v>1000</v>
      </c>
      <c r="D26" s="16"/>
      <c r="E26" s="15">
        <f>'180-Emer Mgm'!F16</f>
        <v>1000</v>
      </c>
      <c r="F26" s="8">
        <f t="shared" si="1"/>
        <v>0</v>
      </c>
      <c r="G26" s="103"/>
      <c r="I26" s="16"/>
      <c r="K26" s="10"/>
    </row>
    <row r="27" spans="1:11" x14ac:dyDescent="0.2">
      <c r="A27" s="105" t="s">
        <v>1808</v>
      </c>
      <c r="B27" s="53">
        <v>240</v>
      </c>
      <c r="C27" s="30">
        <f>+'240-Airport'!E49</f>
        <v>208700</v>
      </c>
      <c r="D27" s="16"/>
      <c r="E27" s="16">
        <f>+'240-Airport'!F49</f>
        <v>189600</v>
      </c>
      <c r="F27" s="8">
        <f t="shared" si="1"/>
        <v>19100</v>
      </c>
      <c r="G27" s="103"/>
      <c r="I27" s="16"/>
      <c r="K27" s="10"/>
    </row>
    <row r="28" spans="1:11" x14ac:dyDescent="0.2">
      <c r="A28" t="s">
        <v>1703</v>
      </c>
      <c r="B28" s="53">
        <v>280</v>
      </c>
      <c r="C28" s="16">
        <f>+'280-Capital Murder'!E26</f>
        <v>0</v>
      </c>
      <c r="D28" s="16"/>
      <c r="E28" s="15">
        <f>'280-Capital Murder'!F14</f>
        <v>0</v>
      </c>
      <c r="F28" s="8">
        <f t="shared" si="1"/>
        <v>0</v>
      </c>
      <c r="G28" s="103"/>
      <c r="I28" s="16"/>
      <c r="K28" s="10"/>
    </row>
    <row r="29" spans="1:11" x14ac:dyDescent="0.2">
      <c r="A29" t="s">
        <v>416</v>
      </c>
      <c r="B29" s="53">
        <v>450</v>
      </c>
      <c r="C29" s="30">
        <f>+'450-Juv Svcs'!E90</f>
        <v>1316611</v>
      </c>
      <c r="D29" s="16"/>
      <c r="E29" s="15">
        <f>'450-Juv Svcs'!F79</f>
        <v>1342606</v>
      </c>
      <c r="F29" s="8">
        <f t="shared" si="1"/>
        <v>-25995</v>
      </c>
      <c r="G29" s="195"/>
      <c r="I29" s="16"/>
      <c r="K29" s="10"/>
    </row>
    <row r="30" spans="1:11" hidden="1" x14ac:dyDescent="0.2">
      <c r="A30" t="s">
        <v>417</v>
      </c>
      <c r="B30" s="53">
        <v>470</v>
      </c>
      <c r="C30" s="30">
        <v>0</v>
      </c>
      <c r="D30" s="16"/>
      <c r="E30" s="15">
        <f>'470-Boot Camp'!E34</f>
        <v>0</v>
      </c>
      <c r="F30" s="8">
        <f t="shared" si="1"/>
        <v>0</v>
      </c>
      <c r="I30" s="8"/>
      <c r="K30" s="10"/>
    </row>
    <row r="31" spans="1:11" x14ac:dyDescent="0.2">
      <c r="A31" t="s">
        <v>1139</v>
      </c>
      <c r="B31" s="53">
        <v>610</v>
      </c>
      <c r="C31" s="30">
        <f>+'610-I &amp; S'!E66</f>
        <v>1013724</v>
      </c>
      <c r="D31" s="16"/>
      <c r="E31" s="15">
        <f>'610-I &amp; S'!F54</f>
        <v>493170.88</v>
      </c>
      <c r="F31" s="8">
        <f t="shared" si="1"/>
        <v>520553.12</v>
      </c>
      <c r="K31" s="10"/>
    </row>
    <row r="32" spans="1:11" x14ac:dyDescent="0.2">
      <c r="A32" t="s">
        <v>1140</v>
      </c>
      <c r="B32" s="53">
        <v>710</v>
      </c>
      <c r="C32" s="30">
        <f>+'710-Perm Imp'!E36</f>
        <v>520000</v>
      </c>
      <c r="D32" s="16"/>
      <c r="E32" s="15">
        <f>'710-Perm Imp'!F25</f>
        <v>280000</v>
      </c>
      <c r="F32" s="8">
        <f t="shared" si="1"/>
        <v>240000</v>
      </c>
      <c r="G32" s="103"/>
      <c r="I32" s="16"/>
      <c r="K32" s="10"/>
    </row>
    <row r="33" spans="1:11" x14ac:dyDescent="0.2">
      <c r="A33" t="s">
        <v>818</v>
      </c>
      <c r="B33" s="53">
        <v>740</v>
      </c>
      <c r="C33" s="30">
        <f>+'740-Tobacco'!E42</f>
        <v>62700</v>
      </c>
      <c r="D33" s="16"/>
      <c r="E33" s="16">
        <f>'740-Tobacco'!F31</f>
        <v>21000</v>
      </c>
      <c r="F33" s="8">
        <f t="shared" si="1"/>
        <v>41700</v>
      </c>
      <c r="G33" s="103"/>
      <c r="I33" s="16"/>
      <c r="K33" s="10"/>
    </row>
    <row r="34" spans="1:11" x14ac:dyDescent="0.2">
      <c r="A34" t="s">
        <v>1022</v>
      </c>
      <c r="B34" s="53">
        <v>750</v>
      </c>
      <c r="C34" s="11">
        <f>+'750-CH Maint'!E26</f>
        <v>50000</v>
      </c>
      <c r="D34" s="12"/>
      <c r="E34" s="12">
        <f>'750-CH Maint'!F15</f>
        <v>35000</v>
      </c>
      <c r="F34" s="8">
        <f t="shared" si="1"/>
        <v>15000</v>
      </c>
      <c r="G34" s="103"/>
      <c r="J34"/>
    </row>
    <row r="35" spans="1:11" ht="13.5" thickBot="1" x14ac:dyDescent="0.25">
      <c r="A35" s="6" t="s">
        <v>1319</v>
      </c>
      <c r="B35" s="53"/>
      <c r="C35" s="17">
        <f>SUM(C22:C34)</f>
        <v>30463674.609999999</v>
      </c>
      <c r="E35" s="17">
        <f>SUM(E22:E34)</f>
        <v>32012932.080901757</v>
      </c>
      <c r="F35" s="14">
        <f>SUM(F22:F34)</f>
        <v>-1549257.4709017584</v>
      </c>
      <c r="G35" s="104"/>
      <c r="J35"/>
    </row>
    <row r="36" spans="1:11" ht="8.25" customHeight="1" thickTop="1" x14ac:dyDescent="0.2">
      <c r="A36" s="6"/>
      <c r="B36" s="53"/>
      <c r="C36" s="15"/>
      <c r="E36" s="15"/>
      <c r="F36" s="15"/>
      <c r="J36"/>
    </row>
    <row r="37" spans="1:11" x14ac:dyDescent="0.2">
      <c r="A37" s="4" t="s">
        <v>2325</v>
      </c>
      <c r="B37" s="53"/>
      <c r="C37" s="15">
        <f>+C19-C35</f>
        <v>-1073830.6099999994</v>
      </c>
      <c r="E37" s="15">
        <f>+E19-E35</f>
        <v>-2246286.970925834</v>
      </c>
      <c r="F37" s="15"/>
      <c r="J37"/>
    </row>
    <row r="38" spans="1:11" ht="8.25" customHeight="1" x14ac:dyDescent="0.2">
      <c r="A38" s="6"/>
      <c r="B38" s="53"/>
      <c r="C38" s="15"/>
      <c r="E38" s="15"/>
      <c r="F38" s="15"/>
      <c r="J38"/>
    </row>
    <row r="39" spans="1:11" x14ac:dyDescent="0.2">
      <c r="A39" s="4" t="s">
        <v>1122</v>
      </c>
      <c r="B39" s="53"/>
      <c r="C39" s="8"/>
      <c r="E39" s="1">
        <v>2020</v>
      </c>
      <c r="F39" s="1">
        <v>2021</v>
      </c>
      <c r="J39"/>
    </row>
    <row r="40" spans="1:11" x14ac:dyDescent="0.2">
      <c r="A40" t="s">
        <v>912</v>
      </c>
      <c r="B40" s="53"/>
      <c r="C40" s="43" t="s">
        <v>1410</v>
      </c>
      <c r="E40" s="216">
        <f>'100-Genl'!E912+'110-Jury'!E40+'130-Protested Ppty Tax'!E23+'140-R &amp; B'!E125+'180-Emer Mgm'!E24+'240-Airport'!E45+'280-Capital Murder'!E22+'450-Juv Svcs'!E86+'470-Boot Camp'!E41+'610-I &amp; S'!E62+'710-Perm Imp'!E32+'740-Tobacco'!E38+'750-CH Maint'!E22</f>
        <v>10715167.748999992</v>
      </c>
      <c r="F40" s="76">
        <f>E43</f>
        <v>9641337.1389999911</v>
      </c>
      <c r="G40" s="303" t="s">
        <v>2310</v>
      </c>
    </row>
    <row r="41" spans="1:11" x14ac:dyDescent="0.2">
      <c r="A41" t="s">
        <v>106</v>
      </c>
      <c r="B41" s="53"/>
      <c r="C41" s="10" t="s">
        <v>1410</v>
      </c>
      <c r="D41" s="10"/>
      <c r="E41" s="8">
        <f>C19</f>
        <v>29389844</v>
      </c>
      <c r="F41" s="76">
        <f>E19</f>
        <v>29766645.109975923</v>
      </c>
      <c r="G41" s="304"/>
    </row>
    <row r="42" spans="1:11" x14ac:dyDescent="0.2">
      <c r="A42" t="s">
        <v>1404</v>
      </c>
      <c r="B42" s="53"/>
      <c r="C42" s="10" t="s">
        <v>1410</v>
      </c>
      <c r="D42" s="10"/>
      <c r="E42" s="8">
        <f>C35</f>
        <v>30463674.609999999</v>
      </c>
      <c r="F42" s="76">
        <f>E35</f>
        <v>32012932.080901757</v>
      </c>
      <c r="G42" s="304"/>
    </row>
    <row r="43" spans="1:11" ht="26.25" customHeight="1" thickBot="1" x14ac:dyDescent="0.25">
      <c r="A43" t="s">
        <v>1326</v>
      </c>
      <c r="B43" s="53"/>
      <c r="C43" s="8" t="s">
        <v>1410</v>
      </c>
      <c r="D43" s="8"/>
      <c r="E43" s="14">
        <f>E40+E41-E42</f>
        <v>9641337.1389999911</v>
      </c>
      <c r="F43" s="14">
        <f>F40+F41-F42</f>
        <v>7395050.1680741608</v>
      </c>
      <c r="G43" s="304"/>
    </row>
    <row r="44" spans="1:11" ht="13.5" thickTop="1" x14ac:dyDescent="0.2">
      <c r="B44" s="53"/>
      <c r="C44" s="8"/>
      <c r="D44" s="8"/>
      <c r="E44" s="15"/>
      <c r="F44" s="190"/>
      <c r="G44" s="188"/>
    </row>
    <row r="45" spans="1:11" x14ac:dyDescent="0.2">
      <c r="A45" s="4" t="s">
        <v>378</v>
      </c>
      <c r="B45" s="53"/>
      <c r="E45" s="1">
        <f>+$E$39</f>
        <v>2020</v>
      </c>
      <c r="F45" s="1">
        <f>+$F$39</f>
        <v>2021</v>
      </c>
    </row>
    <row r="46" spans="1:11" x14ac:dyDescent="0.2">
      <c r="A46" t="s">
        <v>912</v>
      </c>
      <c r="B46" s="53"/>
      <c r="C46" s="43" t="s">
        <v>1410</v>
      </c>
      <c r="E46" s="8">
        <f>'100-Genl'!E912+'130-Protested Ppty Tax'!E23+'180-Emer Mgm'!E24+'280-Capital Murder'!E22+'750-CH Maint'!E22+'740-Tobacco'!E38</f>
        <v>8599421.3289999906</v>
      </c>
      <c r="F46" s="76">
        <f>E50</f>
        <v>8116583.3289999887</v>
      </c>
      <c r="G46" s="303" t="s">
        <v>2311</v>
      </c>
    </row>
    <row r="47" spans="1:11" x14ac:dyDescent="0.2">
      <c r="A47" t="s">
        <v>106</v>
      </c>
      <c r="B47" s="53"/>
      <c r="C47" s="10" t="s">
        <v>1410</v>
      </c>
      <c r="D47" s="10"/>
      <c r="E47" s="8">
        <f>C6+C8+C10+C17+C18</f>
        <v>21342568</v>
      </c>
      <c r="F47" s="8">
        <f>E6+E8+E10+E17+E18</f>
        <v>21514692.255520102</v>
      </c>
      <c r="G47" s="304"/>
    </row>
    <row r="48" spans="1:11" x14ac:dyDescent="0.2">
      <c r="A48" t="s">
        <v>1404</v>
      </c>
      <c r="B48" s="53"/>
      <c r="C48" s="10" t="s">
        <v>1410</v>
      </c>
      <c r="D48" s="10"/>
      <c r="E48" s="8">
        <f>C22+C26+C33+C34+C24</f>
        <v>21825406</v>
      </c>
      <c r="F48" s="8">
        <f>E22+E26+E33+E34+E24</f>
        <v>23154729.200901758</v>
      </c>
      <c r="G48" s="304"/>
    </row>
    <row r="49" spans="1:13" x14ac:dyDescent="0.2">
      <c r="A49" t="s">
        <v>150</v>
      </c>
      <c r="B49" s="53"/>
      <c r="C49" s="16" t="s">
        <v>1410</v>
      </c>
      <c r="D49" s="12"/>
      <c r="E49" s="16">
        <f>'100-Genl'!E918+'180-Emer Mgm'!E30+'740-Tobacco'!E44+'750-CH Maint'!E28</f>
        <v>0</v>
      </c>
      <c r="F49" s="40">
        <f>'100-Genl'!E918+'180-Emer Mgm'!E30+'740-Tobacco'!E44+'750-CH Maint'!E28</f>
        <v>0</v>
      </c>
      <c r="G49" s="304"/>
    </row>
    <row r="50" spans="1:13" ht="13.5" thickBot="1" x14ac:dyDescent="0.25">
      <c r="A50" t="s">
        <v>1326</v>
      </c>
      <c r="B50" s="53"/>
      <c r="C50" s="8" t="s">
        <v>1410</v>
      </c>
      <c r="D50" s="8"/>
      <c r="E50" s="14">
        <f>E46+E47-E48+E49</f>
        <v>8116583.3289999887</v>
      </c>
      <c r="F50" s="114">
        <f>F46+F47-F48+F49</f>
        <v>6476546.3836183324</v>
      </c>
      <c r="G50" s="304"/>
    </row>
    <row r="51" spans="1:13" ht="13.5" thickTop="1" x14ac:dyDescent="0.2">
      <c r="A51" s="13" t="s">
        <v>1410</v>
      </c>
      <c r="B51" s="53"/>
      <c r="C51" s="8" t="s">
        <v>1529</v>
      </c>
      <c r="D51" s="8"/>
      <c r="E51" s="8" t="s">
        <v>1410</v>
      </c>
      <c r="F51" s="43" t="s">
        <v>1410</v>
      </c>
      <c r="G51"/>
    </row>
    <row r="52" spans="1:13" ht="3.75" customHeight="1" x14ac:dyDescent="0.2">
      <c r="A52" s="13"/>
      <c r="B52" s="53"/>
      <c r="C52" s="8"/>
      <c r="D52" s="8"/>
      <c r="E52" s="8"/>
      <c r="F52" s="43"/>
      <c r="G52"/>
    </row>
    <row r="53" spans="1:13" x14ac:dyDescent="0.2">
      <c r="A53" s="4" t="s">
        <v>1141</v>
      </c>
      <c r="B53" s="53"/>
      <c r="E53" s="1">
        <f>+$E$39</f>
        <v>2020</v>
      </c>
      <c r="F53" s="1">
        <f>+$F$39</f>
        <v>2021</v>
      </c>
      <c r="G53"/>
    </row>
    <row r="54" spans="1:13" x14ac:dyDescent="0.2">
      <c r="A54" s="105" t="s">
        <v>1809</v>
      </c>
      <c r="B54" s="53"/>
      <c r="C54" s="8" t="s">
        <v>1410</v>
      </c>
      <c r="D54" s="8"/>
      <c r="E54" s="66">
        <v>0</v>
      </c>
      <c r="F54" s="10">
        <v>0</v>
      </c>
      <c r="G54"/>
    </row>
    <row r="55" spans="1:13" x14ac:dyDescent="0.2">
      <c r="A55" t="s">
        <v>1022</v>
      </c>
      <c r="B55" s="53"/>
      <c r="C55" s="8"/>
      <c r="D55" s="8"/>
      <c r="E55" s="66"/>
      <c r="F55" s="10">
        <v>0</v>
      </c>
      <c r="G55"/>
    </row>
    <row r="56" spans="1:13" x14ac:dyDescent="0.2">
      <c r="A56" t="s">
        <v>598</v>
      </c>
      <c r="B56" s="53"/>
      <c r="C56" s="16" t="s">
        <v>1410</v>
      </c>
      <c r="D56" s="12"/>
      <c r="E56" s="54">
        <f>'720-Jail Const'!C32</f>
        <v>0</v>
      </c>
      <c r="F56" s="16">
        <v>0</v>
      </c>
      <c r="G56"/>
    </row>
    <row r="57" spans="1:13" x14ac:dyDescent="0.2">
      <c r="A57" t="s">
        <v>1193</v>
      </c>
      <c r="B57" s="53"/>
      <c r="C57" s="16"/>
      <c r="D57" s="16"/>
      <c r="E57" s="54"/>
      <c r="F57" s="16">
        <v>0</v>
      </c>
      <c r="G57"/>
    </row>
    <row r="58" spans="1:13" x14ac:dyDescent="0.2">
      <c r="A58" t="s">
        <v>83</v>
      </c>
      <c r="E58" s="12">
        <v>0</v>
      </c>
      <c r="F58" s="63">
        <v>0</v>
      </c>
      <c r="G58"/>
      <c r="I58" s="53"/>
      <c r="J58" s="232"/>
      <c r="K58" s="16"/>
      <c r="L58" s="54"/>
      <c r="M58" s="16"/>
    </row>
    <row r="59" spans="1:13" ht="13.5" thickBot="1" x14ac:dyDescent="0.25">
      <c r="A59" s="6" t="s">
        <v>1319</v>
      </c>
      <c r="B59" s="53"/>
      <c r="C59" s="8" t="s">
        <v>1410</v>
      </c>
      <c r="E59" s="17">
        <f>SUM(E54:E58)</f>
        <v>0</v>
      </c>
      <c r="F59" s="17">
        <f>SUM(F54:F58)</f>
        <v>0</v>
      </c>
    </row>
    <row r="60" spans="1:13" ht="13.5" thickTop="1" x14ac:dyDescent="0.2"/>
  </sheetData>
  <mergeCells count="2">
    <mergeCell ref="G46:G50"/>
    <mergeCell ref="G40:G43"/>
  </mergeCells>
  <phoneticPr fontId="2" type="noConversion"/>
  <pageMargins left="0.75" right="0.75" top="0.75" bottom="0.75" header="0.5" footer="0.5"/>
  <pageSetup scale="95" firstPageNumber="65" orientation="portrait" useFirstPageNumber="1" r:id="rId1"/>
  <headerFooter alignWithMargins="0">
    <oddFooter xml:space="preserve">&amp;C&amp;P
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F48"/>
  <sheetViews>
    <sheetView zoomScaleNormal="100" workbookViewId="0"/>
  </sheetViews>
  <sheetFormatPr defaultColWidth="9.140625" defaultRowHeight="12.75" x14ac:dyDescent="0.2"/>
  <cols>
    <col min="1" max="1" width="35.85546875" style="62" customWidth="1"/>
    <col min="2" max="2" width="11.5703125" style="62" customWidth="1"/>
    <col min="3" max="3" width="12.85546875" style="62" bestFit="1" customWidth="1"/>
    <col min="4" max="4" width="14.5703125" style="62" customWidth="1"/>
    <col min="5" max="5" width="13.140625" style="62" customWidth="1"/>
    <col min="6" max="16384" width="9.140625" style="62"/>
  </cols>
  <sheetData>
    <row r="1" spans="1:5" x14ac:dyDescent="0.2">
      <c r="A1" s="88" t="s">
        <v>1410</v>
      </c>
    </row>
    <row r="2" spans="1:5" x14ac:dyDescent="0.2">
      <c r="A2" s="88" t="s">
        <v>2049</v>
      </c>
    </row>
    <row r="4" spans="1:5" ht="30" customHeight="1" x14ac:dyDescent="0.2">
      <c r="A4" s="305" t="s">
        <v>2324</v>
      </c>
      <c r="B4" s="305"/>
      <c r="C4" s="305"/>
      <c r="D4" s="305"/>
      <c r="E4" s="305"/>
    </row>
    <row r="5" spans="1:5" x14ac:dyDescent="0.2">
      <c r="A5" s="223"/>
    </row>
    <row r="7" spans="1:5" ht="15" customHeight="1" x14ac:dyDescent="0.2">
      <c r="B7" s="75"/>
      <c r="C7" s="75"/>
      <c r="D7" s="75" t="s">
        <v>84</v>
      </c>
    </row>
    <row r="8" spans="1:5" ht="43.5" customHeight="1" x14ac:dyDescent="0.2">
      <c r="A8" s="113" t="s">
        <v>599</v>
      </c>
      <c r="B8" s="192" t="s">
        <v>85</v>
      </c>
      <c r="C8" s="192" t="s">
        <v>86</v>
      </c>
      <c r="D8" s="193" t="s">
        <v>751</v>
      </c>
      <c r="E8" s="192" t="s">
        <v>1357</v>
      </c>
    </row>
    <row r="9" spans="1:5" x14ac:dyDescent="0.2">
      <c r="A9" s="62" t="s">
        <v>640</v>
      </c>
      <c r="B9" s="194">
        <f>60099+5658+25200</f>
        <v>90957</v>
      </c>
      <c r="C9" s="194">
        <v>1290</v>
      </c>
      <c r="D9" s="194">
        <v>480</v>
      </c>
      <c r="E9" s="194">
        <f>SUM(B9:D9)</f>
        <v>92727</v>
      </c>
    </row>
    <row r="10" spans="1:5" x14ac:dyDescent="0.2">
      <c r="B10" s="194"/>
      <c r="C10" s="194"/>
      <c r="D10" s="194"/>
      <c r="E10" s="194"/>
    </row>
    <row r="11" spans="1:5" x14ac:dyDescent="0.2">
      <c r="A11" s="62" t="s">
        <v>600</v>
      </c>
      <c r="B11" s="194">
        <v>51005</v>
      </c>
      <c r="C11" s="194">
        <v>5455</v>
      </c>
      <c r="D11" s="194">
        <v>420</v>
      </c>
      <c r="E11" s="194">
        <f t="shared" ref="E11:E45" si="0">SUM(B11:D11)</f>
        <v>56880</v>
      </c>
    </row>
    <row r="12" spans="1:5" x14ac:dyDescent="0.2">
      <c r="A12" s="62" t="s">
        <v>1410</v>
      </c>
      <c r="B12" s="194"/>
      <c r="C12" s="194"/>
      <c r="D12" s="194"/>
      <c r="E12" s="194"/>
    </row>
    <row r="13" spans="1:5" x14ac:dyDescent="0.2">
      <c r="A13" s="62" t="s">
        <v>601</v>
      </c>
      <c r="B13" s="194">
        <f>+B11</f>
        <v>51005</v>
      </c>
      <c r="C13" s="194">
        <v>5455</v>
      </c>
      <c r="D13" s="194">
        <v>300</v>
      </c>
      <c r="E13" s="194">
        <f t="shared" si="0"/>
        <v>56760</v>
      </c>
    </row>
    <row r="14" spans="1:5" x14ac:dyDescent="0.2">
      <c r="A14" s="62" t="s">
        <v>1410</v>
      </c>
      <c r="B14" s="194"/>
      <c r="C14" s="194"/>
      <c r="D14" s="194"/>
      <c r="E14" s="194"/>
    </row>
    <row r="15" spans="1:5" x14ac:dyDescent="0.2">
      <c r="A15" s="62" t="s">
        <v>602</v>
      </c>
      <c r="B15" s="194">
        <f>+B13</f>
        <v>51005</v>
      </c>
      <c r="C15" s="194">
        <v>5455</v>
      </c>
      <c r="D15" s="194">
        <v>900</v>
      </c>
      <c r="E15" s="194">
        <f t="shared" si="0"/>
        <v>57360</v>
      </c>
    </row>
    <row r="16" spans="1:5" x14ac:dyDescent="0.2">
      <c r="B16" s="194"/>
      <c r="C16" s="194"/>
      <c r="D16" s="194"/>
      <c r="E16" s="194"/>
    </row>
    <row r="17" spans="1:5" x14ac:dyDescent="0.2">
      <c r="A17" s="62" t="s">
        <v>632</v>
      </c>
      <c r="B17" s="194">
        <f>+B15</f>
        <v>51005</v>
      </c>
      <c r="C17" s="194">
        <v>5455</v>
      </c>
      <c r="D17" s="194">
        <v>300</v>
      </c>
      <c r="E17" s="194">
        <f t="shared" si="0"/>
        <v>56760</v>
      </c>
    </row>
    <row r="18" spans="1:5" x14ac:dyDescent="0.2">
      <c r="B18" s="194"/>
      <c r="C18" s="194"/>
      <c r="D18" s="194"/>
      <c r="E18" s="194"/>
    </row>
    <row r="19" spans="1:5" x14ac:dyDescent="0.2">
      <c r="A19" s="62" t="s">
        <v>645</v>
      </c>
      <c r="B19" s="194">
        <v>51236</v>
      </c>
      <c r="C19" s="194">
        <v>0</v>
      </c>
      <c r="D19" s="194">
        <v>1500</v>
      </c>
      <c r="E19" s="194">
        <f t="shared" si="0"/>
        <v>52736</v>
      </c>
    </row>
    <row r="20" spans="1:5" x14ac:dyDescent="0.2">
      <c r="B20" s="194"/>
      <c r="C20" s="194"/>
      <c r="D20" s="194"/>
      <c r="E20" s="194"/>
    </row>
    <row r="21" spans="1:5" x14ac:dyDescent="0.2">
      <c r="A21" s="62" t="s">
        <v>633</v>
      </c>
      <c r="B21" s="194">
        <v>171000</v>
      </c>
      <c r="C21" s="194">
        <v>0</v>
      </c>
      <c r="D21" s="194">
        <v>0</v>
      </c>
      <c r="E21" s="194">
        <f t="shared" si="0"/>
        <v>171000</v>
      </c>
    </row>
    <row r="22" spans="1:5" x14ac:dyDescent="0.2">
      <c r="B22" s="194"/>
      <c r="C22" s="194"/>
      <c r="D22" s="194"/>
      <c r="E22" s="194"/>
    </row>
    <row r="23" spans="1:5" x14ac:dyDescent="0.2">
      <c r="A23" s="62" t="s">
        <v>648</v>
      </c>
      <c r="B23" s="194">
        <v>51236</v>
      </c>
      <c r="C23" s="194">
        <v>0</v>
      </c>
      <c r="D23" s="194">
        <v>480</v>
      </c>
      <c r="E23" s="194">
        <f t="shared" si="0"/>
        <v>51716</v>
      </c>
    </row>
    <row r="24" spans="1:5" x14ac:dyDescent="0.2">
      <c r="B24" s="194"/>
      <c r="C24" s="194"/>
      <c r="D24" s="194"/>
      <c r="E24" s="194"/>
    </row>
    <row r="25" spans="1:5" x14ac:dyDescent="0.2">
      <c r="A25" s="62" t="s">
        <v>8</v>
      </c>
      <c r="B25" s="194">
        <v>47534</v>
      </c>
      <c r="C25" s="194">
        <v>5000</v>
      </c>
      <c r="D25" s="194">
        <f>480</f>
        <v>480</v>
      </c>
      <c r="E25" s="194">
        <f t="shared" si="0"/>
        <v>53014</v>
      </c>
    </row>
    <row r="26" spans="1:5" x14ac:dyDescent="0.2">
      <c r="B26" s="194"/>
      <c r="C26" s="194"/>
      <c r="D26" s="194"/>
      <c r="E26" s="194"/>
    </row>
    <row r="27" spans="1:5" x14ac:dyDescent="0.2">
      <c r="A27" s="62" t="s">
        <v>913</v>
      </c>
      <c r="B27" s="194">
        <f>+B25</f>
        <v>47534</v>
      </c>
      <c r="C27" s="194">
        <v>3675</v>
      </c>
      <c r="D27" s="194">
        <f>480+420</f>
        <v>900</v>
      </c>
      <c r="E27" s="194">
        <f t="shared" si="0"/>
        <v>52109</v>
      </c>
    </row>
    <row r="28" spans="1:5" x14ac:dyDescent="0.2">
      <c r="B28" s="194"/>
      <c r="C28" s="194"/>
      <c r="D28" s="194"/>
      <c r="E28" s="194"/>
    </row>
    <row r="29" spans="1:5" x14ac:dyDescent="0.2">
      <c r="A29" s="62" t="s">
        <v>1331</v>
      </c>
      <c r="B29" s="194">
        <f>+B27</f>
        <v>47534</v>
      </c>
      <c r="C29" s="194">
        <v>4000</v>
      </c>
      <c r="D29" s="194">
        <f>1260+480</f>
        <v>1740</v>
      </c>
      <c r="E29" s="194">
        <f t="shared" si="0"/>
        <v>53274</v>
      </c>
    </row>
    <row r="30" spans="1:5" x14ac:dyDescent="0.2">
      <c r="B30" s="194"/>
      <c r="C30" s="194"/>
      <c r="D30" s="194"/>
      <c r="E30" s="194"/>
    </row>
    <row r="31" spans="1:5" x14ac:dyDescent="0.2">
      <c r="A31" s="62" t="s">
        <v>1164</v>
      </c>
      <c r="B31" s="194">
        <f>+B29</f>
        <v>47534</v>
      </c>
      <c r="C31" s="194">
        <v>4500</v>
      </c>
      <c r="D31" s="194">
        <f>1500+480</f>
        <v>1980</v>
      </c>
      <c r="E31" s="194">
        <f t="shared" si="0"/>
        <v>54014</v>
      </c>
    </row>
    <row r="32" spans="1:5" x14ac:dyDescent="0.2">
      <c r="B32" s="194"/>
      <c r="C32" s="194"/>
      <c r="D32" s="194"/>
      <c r="E32" s="194"/>
    </row>
    <row r="33" spans="1:6" x14ac:dyDescent="0.2">
      <c r="A33" s="62" t="s">
        <v>91</v>
      </c>
      <c r="B33" s="194">
        <v>51236</v>
      </c>
      <c r="C33" s="194">
        <v>0</v>
      </c>
      <c r="D33" s="194">
        <v>0</v>
      </c>
      <c r="E33" s="194">
        <f t="shared" si="0"/>
        <v>51236</v>
      </c>
    </row>
    <row r="34" spans="1:6" x14ac:dyDescent="0.2">
      <c r="B34" s="194"/>
      <c r="C34" s="194"/>
      <c r="D34" s="194"/>
      <c r="E34" s="194"/>
    </row>
    <row r="35" spans="1:6" x14ac:dyDescent="0.2">
      <c r="A35" s="62" t="s">
        <v>92</v>
      </c>
      <c r="B35" s="194">
        <v>51236</v>
      </c>
      <c r="C35" s="194">
        <v>0</v>
      </c>
      <c r="D35" s="194">
        <v>1200</v>
      </c>
      <c r="E35" s="194">
        <f t="shared" si="0"/>
        <v>52436</v>
      </c>
    </row>
    <row r="36" spans="1:6" x14ac:dyDescent="0.2">
      <c r="B36" s="194"/>
      <c r="C36" s="194"/>
      <c r="D36" s="194"/>
      <c r="E36" s="194"/>
    </row>
    <row r="37" spans="1:6" x14ac:dyDescent="0.2">
      <c r="A37" s="62" t="s">
        <v>1332</v>
      </c>
      <c r="B37" s="194">
        <v>37616</v>
      </c>
      <c r="C37" s="194">
        <v>0</v>
      </c>
      <c r="D37" s="194">
        <f>500+480+180+2000</f>
        <v>3160</v>
      </c>
      <c r="E37" s="194">
        <f t="shared" si="0"/>
        <v>40776</v>
      </c>
    </row>
    <row r="38" spans="1:6" x14ac:dyDescent="0.2">
      <c r="B38" s="194"/>
      <c r="C38" s="194"/>
      <c r="D38" s="194"/>
      <c r="E38" s="194"/>
    </row>
    <row r="39" spans="1:6" x14ac:dyDescent="0.2">
      <c r="A39" s="62" t="s">
        <v>1333</v>
      </c>
      <c r="B39" s="194">
        <f>+B37</f>
        <v>37616</v>
      </c>
      <c r="C39" s="194">
        <v>0</v>
      </c>
      <c r="D39" s="194">
        <f>500+480+1140</f>
        <v>2120</v>
      </c>
      <c r="E39" s="194">
        <f t="shared" si="0"/>
        <v>39736</v>
      </c>
    </row>
    <row r="40" spans="1:6" x14ac:dyDescent="0.2">
      <c r="B40" s="194"/>
      <c r="C40" s="194"/>
      <c r="D40" s="194"/>
      <c r="E40" s="194"/>
    </row>
    <row r="41" spans="1:6" x14ac:dyDescent="0.2">
      <c r="A41" s="62" t="s">
        <v>1334</v>
      </c>
      <c r="B41" s="194">
        <f>+B39</f>
        <v>37616</v>
      </c>
      <c r="C41" s="194">
        <v>0</v>
      </c>
      <c r="D41" s="194">
        <f>480+180+500+2000</f>
        <v>3160</v>
      </c>
      <c r="E41" s="194">
        <f t="shared" si="0"/>
        <v>40776</v>
      </c>
    </row>
    <row r="42" spans="1:6" x14ac:dyDescent="0.2">
      <c r="B42" s="194"/>
      <c r="C42" s="194"/>
      <c r="D42" s="194"/>
      <c r="E42" s="194"/>
    </row>
    <row r="43" spans="1:6" x14ac:dyDescent="0.2">
      <c r="A43" s="62" t="s">
        <v>1335</v>
      </c>
      <c r="B43" s="194">
        <f>+B41</f>
        <v>37616</v>
      </c>
      <c r="C43" s="194">
        <v>0</v>
      </c>
      <c r="D43" s="194">
        <f>480+180+500+2000</f>
        <v>3160</v>
      </c>
      <c r="E43" s="194">
        <f t="shared" si="0"/>
        <v>40776</v>
      </c>
    </row>
    <row r="44" spans="1:6" x14ac:dyDescent="0.2">
      <c r="B44" s="194"/>
      <c r="C44" s="194"/>
      <c r="D44" s="194"/>
      <c r="E44" s="194"/>
    </row>
    <row r="45" spans="1:6" x14ac:dyDescent="0.2">
      <c r="A45" s="62" t="s">
        <v>1336</v>
      </c>
      <c r="B45" s="194">
        <v>72662</v>
      </c>
      <c r="C45" s="194">
        <v>0</v>
      </c>
      <c r="D45" s="194">
        <f>780+480+1140+2000</f>
        <v>4400</v>
      </c>
      <c r="E45" s="194">
        <f t="shared" si="0"/>
        <v>77062</v>
      </c>
      <c r="F45" s="66"/>
    </row>
    <row r="46" spans="1:6" x14ac:dyDescent="0.2">
      <c r="B46" s="66" t="s">
        <v>1410</v>
      </c>
      <c r="C46" s="66"/>
      <c r="D46" s="66"/>
      <c r="E46" s="66"/>
    </row>
    <row r="47" spans="1:6" x14ac:dyDescent="0.2">
      <c r="B47" s="66"/>
      <c r="C47" s="66"/>
      <c r="D47" s="66"/>
      <c r="E47" s="66"/>
    </row>
    <row r="48" spans="1:6" x14ac:dyDescent="0.2">
      <c r="B48" s="66"/>
      <c r="C48" s="66"/>
      <c r="D48" s="66"/>
      <c r="E48" s="66"/>
    </row>
  </sheetData>
  <mergeCells count="1">
    <mergeCell ref="A4:E4"/>
  </mergeCells>
  <phoneticPr fontId="2" type="noConversion"/>
  <pageMargins left="0.75" right="0.75" top="1" bottom="1" header="0.5" footer="0.5"/>
  <pageSetup firstPageNumber="66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130"/>
  <sheetViews>
    <sheetView zoomScaleNormal="100" workbookViewId="0">
      <selection activeCell="C53" sqref="C1:C1048576"/>
    </sheetView>
  </sheetViews>
  <sheetFormatPr defaultRowHeight="12.75" x14ac:dyDescent="0.2"/>
  <cols>
    <col min="1" max="1" width="14.85546875" bestFit="1" customWidth="1"/>
    <col min="2" max="2" width="38.5703125" customWidth="1"/>
    <col min="3" max="3" width="13.140625" bestFit="1" customWidth="1"/>
    <col min="4" max="4" width="13.140625" style="62" bestFit="1" customWidth="1"/>
    <col min="5" max="6" width="13.28515625" style="62" bestFit="1" customWidth="1"/>
  </cols>
  <sheetData>
    <row r="1" spans="1:6" x14ac:dyDescent="0.2">
      <c r="A1" t="s">
        <v>1410</v>
      </c>
      <c r="B1" s="4" t="s">
        <v>638</v>
      </c>
    </row>
    <row r="2" spans="1:6" x14ac:dyDescent="0.2">
      <c r="B2" s="4" t="s">
        <v>965</v>
      </c>
    </row>
    <row r="4" spans="1:6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6" x14ac:dyDescent="0.2">
      <c r="B5" s="4" t="s">
        <v>299</v>
      </c>
    </row>
    <row r="6" spans="1:6" x14ac:dyDescent="0.2">
      <c r="A6" t="s">
        <v>1431</v>
      </c>
      <c r="B6" s="254" t="s">
        <v>2062</v>
      </c>
      <c r="C6" s="66">
        <v>1650</v>
      </c>
      <c r="D6" s="66">
        <v>2680</v>
      </c>
      <c r="E6" s="66">
        <v>1500</v>
      </c>
      <c r="F6" s="66">
        <v>1500</v>
      </c>
    </row>
    <row r="7" spans="1:6" x14ac:dyDescent="0.2">
      <c r="B7" s="254" t="s">
        <v>2063</v>
      </c>
      <c r="C7" s="91">
        <v>0</v>
      </c>
      <c r="D7" s="91">
        <v>0</v>
      </c>
      <c r="E7" s="91">
        <v>0</v>
      </c>
      <c r="F7" s="91">
        <v>0</v>
      </c>
    </row>
    <row r="8" spans="1:6" x14ac:dyDescent="0.2">
      <c r="A8" t="s">
        <v>1432</v>
      </c>
      <c r="B8" s="254" t="s">
        <v>1746</v>
      </c>
      <c r="C8" s="63">
        <v>63.85</v>
      </c>
      <c r="D8" s="63">
        <v>46.32</v>
      </c>
      <c r="E8" s="63">
        <v>50</v>
      </c>
      <c r="F8" s="63">
        <v>50</v>
      </c>
    </row>
    <row r="9" spans="1:6" ht="13.5" thickBot="1" x14ac:dyDescent="0.25">
      <c r="B9" s="6" t="s">
        <v>129</v>
      </c>
      <c r="C9" s="78">
        <f>SUM(C6:C8)</f>
        <v>1713.85</v>
      </c>
      <c r="D9" s="78">
        <f>SUM(D6:D8)</f>
        <v>2726.32</v>
      </c>
      <c r="E9" s="78">
        <f>SUM(E6:E8)</f>
        <v>1550</v>
      </c>
      <c r="F9" s="78">
        <f>SUM(F6:F8)</f>
        <v>1550</v>
      </c>
    </row>
    <row r="10" spans="1:6" ht="13.5" thickTop="1" x14ac:dyDescent="0.2">
      <c r="B10" s="6"/>
      <c r="C10" s="62"/>
    </row>
    <row r="11" spans="1:6" x14ac:dyDescent="0.2">
      <c r="B11" s="4" t="s">
        <v>844</v>
      </c>
      <c r="C11" s="62"/>
    </row>
    <row r="12" spans="1:6" x14ac:dyDescent="0.2">
      <c r="A12" t="s">
        <v>523</v>
      </c>
      <c r="B12" s="254" t="s">
        <v>1899</v>
      </c>
      <c r="C12" s="72">
        <v>0</v>
      </c>
      <c r="D12" s="72">
        <v>0</v>
      </c>
      <c r="E12" s="72">
        <v>0</v>
      </c>
      <c r="F12" s="72">
        <v>0</v>
      </c>
    </row>
    <row r="13" spans="1:6" x14ac:dyDescent="0.2">
      <c r="A13" s="62" t="s">
        <v>1278</v>
      </c>
      <c r="B13" s="265" t="s">
        <v>2064</v>
      </c>
      <c r="C13" s="60">
        <v>0</v>
      </c>
      <c r="D13" s="60">
        <v>0</v>
      </c>
      <c r="E13" s="60">
        <v>1000</v>
      </c>
      <c r="F13" s="60">
        <v>1000</v>
      </c>
    </row>
    <row r="14" spans="1:6" x14ac:dyDescent="0.2">
      <c r="A14" s="62" t="s">
        <v>1279</v>
      </c>
      <c r="B14" s="265" t="s">
        <v>1882</v>
      </c>
      <c r="C14" s="60">
        <v>0</v>
      </c>
      <c r="D14" s="60">
        <v>0</v>
      </c>
      <c r="E14" s="60">
        <v>500</v>
      </c>
      <c r="F14" s="60">
        <v>500</v>
      </c>
    </row>
    <row r="15" spans="1:6" ht="13.5" thickBot="1" x14ac:dyDescent="0.25">
      <c r="A15" s="62"/>
      <c r="B15" s="127" t="s">
        <v>1319</v>
      </c>
      <c r="C15" s="78">
        <f>SUM(C12:C14)</f>
        <v>0</v>
      </c>
      <c r="D15" s="78">
        <f>SUM(D12:D14)</f>
        <v>0</v>
      </c>
      <c r="E15" s="78">
        <f>SUM(E12:E14)</f>
        <v>1500</v>
      </c>
      <c r="F15" s="78">
        <f>SUM(F12:F14)</f>
        <v>1500</v>
      </c>
    </row>
    <row r="16" spans="1:6" ht="13.5" thickTop="1" x14ac:dyDescent="0.2">
      <c r="A16" t="s">
        <v>1410</v>
      </c>
      <c r="C16" s="62"/>
    </row>
    <row r="17" spans="1:6" x14ac:dyDescent="0.2">
      <c r="C17" s="62"/>
    </row>
    <row r="18" spans="1:6" x14ac:dyDescent="0.2">
      <c r="B18" s="4" t="s">
        <v>1320</v>
      </c>
      <c r="C18" s="72"/>
      <c r="D18" s="72"/>
      <c r="E18" s="72"/>
      <c r="F18" s="72"/>
    </row>
    <row r="19" spans="1:6" x14ac:dyDescent="0.2">
      <c r="B19" s="4" t="s">
        <v>965</v>
      </c>
      <c r="C19" s="72"/>
      <c r="D19" s="72"/>
      <c r="E19" s="72"/>
      <c r="F19" s="72"/>
    </row>
    <row r="20" spans="1:6" x14ac:dyDescent="0.2">
      <c r="B20" s="4" t="s">
        <v>1321</v>
      </c>
      <c r="C20" s="72"/>
      <c r="D20" s="72"/>
      <c r="E20" s="72"/>
      <c r="F20" s="72"/>
    </row>
    <row r="21" spans="1:6" x14ac:dyDescent="0.2">
      <c r="B21" s="6"/>
      <c r="C21" s="77" t="str">
        <f>+C4</f>
        <v>2018 ACTUAL</v>
      </c>
      <c r="D21" s="77" t="str">
        <f>+D4</f>
        <v>2019 ACTUAL</v>
      </c>
      <c r="E21" s="77" t="str">
        <f>+E4</f>
        <v>2020 BUDGET</v>
      </c>
      <c r="F21" s="77" t="str">
        <f>+F4</f>
        <v>2021 BUDGET</v>
      </c>
    </row>
    <row r="22" spans="1:6" x14ac:dyDescent="0.2">
      <c r="C22" s="62"/>
    </row>
    <row r="23" spans="1:6" x14ac:dyDescent="0.2">
      <c r="B23" t="s">
        <v>1322</v>
      </c>
      <c r="C23" s="66">
        <v>16465.63</v>
      </c>
      <c r="D23" s="66">
        <f>C29</f>
        <v>18179.48</v>
      </c>
      <c r="E23" s="66">
        <f>D29</f>
        <v>20905.8</v>
      </c>
      <c r="F23" s="66">
        <f>E29</f>
        <v>20955.8</v>
      </c>
    </row>
    <row r="24" spans="1:6" x14ac:dyDescent="0.2">
      <c r="C24" s="62"/>
    </row>
    <row r="25" spans="1:6" x14ac:dyDescent="0.2">
      <c r="B25" t="s">
        <v>106</v>
      </c>
      <c r="C25" s="81">
        <f>C9</f>
        <v>1713.85</v>
      </c>
      <c r="D25" s="81">
        <f>D9</f>
        <v>2726.32</v>
      </c>
      <c r="E25" s="81">
        <f>E9</f>
        <v>1550</v>
      </c>
      <c r="F25" s="81">
        <f>F9</f>
        <v>1550</v>
      </c>
    </row>
    <row r="26" spans="1:6" x14ac:dyDescent="0.2">
      <c r="C26" s="67"/>
      <c r="D26" s="67"/>
      <c r="E26" s="67"/>
      <c r="F26" s="67"/>
    </row>
    <row r="27" spans="1:6" x14ac:dyDescent="0.2">
      <c r="A27" t="s">
        <v>1410</v>
      </c>
      <c r="B27" t="s">
        <v>1404</v>
      </c>
      <c r="C27" s="92">
        <f>C15</f>
        <v>0</v>
      </c>
      <c r="D27" s="92">
        <f>D15</f>
        <v>0</v>
      </c>
      <c r="E27" s="92">
        <f>E15</f>
        <v>1500</v>
      </c>
      <c r="F27" s="92">
        <f>F15</f>
        <v>1500</v>
      </c>
    </row>
    <row r="28" spans="1:6" x14ac:dyDescent="0.2">
      <c r="C28" s="62"/>
    </row>
    <row r="29" spans="1:6" ht="13.5" thickBot="1" x14ac:dyDescent="0.25">
      <c r="A29" t="s">
        <v>1410</v>
      </c>
      <c r="B29" t="s">
        <v>1326</v>
      </c>
      <c r="C29" s="71">
        <f>C23+C25-C27</f>
        <v>18179.48</v>
      </c>
      <c r="D29" s="71">
        <f>D23+D25-D27</f>
        <v>20905.8</v>
      </c>
      <c r="E29" s="71">
        <f>E23+E25-E27</f>
        <v>20955.8</v>
      </c>
      <c r="F29" s="71">
        <f>F23+F25-F27</f>
        <v>21005.8</v>
      </c>
    </row>
    <row r="30" spans="1:6" ht="13.5" thickTop="1" x14ac:dyDescent="0.2"/>
    <row r="130" spans="3:6" x14ac:dyDescent="0.2">
      <c r="C130" s="9"/>
      <c r="D130" s="81"/>
      <c r="E130" s="81"/>
      <c r="F130" s="81"/>
    </row>
  </sheetData>
  <phoneticPr fontId="2" type="noConversion"/>
  <pageMargins left="0.5" right="0.5" top="1" bottom="1" header="0.5" footer="0.5"/>
  <pageSetup scale="85" firstPageNumber="19" orientation="portrait" useFirstPageNumber="1" r:id="rId1"/>
  <headerFooter alignWithMargins="0">
    <oddFooter xml:space="preserve">&amp;C&amp;P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zoomScaleNormal="100" workbookViewId="0"/>
  </sheetViews>
  <sheetFormatPr defaultRowHeight="12.75" x14ac:dyDescent="0.2"/>
  <cols>
    <col min="1" max="1" width="14.85546875" bestFit="1" customWidth="1"/>
    <col min="2" max="2" width="39.28515625" customWidth="1"/>
    <col min="3" max="3" width="13.140625" bestFit="1" customWidth="1"/>
    <col min="4" max="6" width="13.28515625" style="62" bestFit="1" customWidth="1"/>
  </cols>
  <sheetData>
    <row r="1" spans="1:6" x14ac:dyDescent="0.2">
      <c r="A1" t="s">
        <v>1410</v>
      </c>
      <c r="B1" s="4" t="s">
        <v>638</v>
      </c>
    </row>
    <row r="2" spans="1:6" x14ac:dyDescent="0.2">
      <c r="B2" s="4" t="s">
        <v>1748</v>
      </c>
    </row>
    <row r="4" spans="1:6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6" x14ac:dyDescent="0.2">
      <c r="B5" s="4" t="s">
        <v>299</v>
      </c>
    </row>
    <row r="6" spans="1:6" x14ac:dyDescent="0.2">
      <c r="A6" s="105" t="s">
        <v>1749</v>
      </c>
      <c r="B6" s="254" t="s">
        <v>1831</v>
      </c>
      <c r="C6" s="66">
        <v>0</v>
      </c>
      <c r="D6" s="66">
        <v>0</v>
      </c>
      <c r="E6" s="66">
        <v>0</v>
      </c>
      <c r="F6" s="66">
        <v>0</v>
      </c>
    </row>
    <row r="7" spans="1:6" x14ac:dyDescent="0.2">
      <c r="A7" s="105" t="s">
        <v>1750</v>
      </c>
      <c r="B7" s="254" t="s">
        <v>1832</v>
      </c>
      <c r="C7" s="91">
        <v>0</v>
      </c>
      <c r="D7" s="91">
        <v>0</v>
      </c>
      <c r="E7" s="91">
        <v>0</v>
      </c>
      <c r="F7" s="91">
        <v>0</v>
      </c>
    </row>
    <row r="8" spans="1:6" x14ac:dyDescent="0.2">
      <c r="A8" s="105" t="s">
        <v>1751</v>
      </c>
      <c r="B8" s="254" t="s">
        <v>1746</v>
      </c>
      <c r="C8" s="63">
        <v>7591.79</v>
      </c>
      <c r="D8" s="63">
        <v>11454.48</v>
      </c>
      <c r="E8" s="63">
        <v>0</v>
      </c>
      <c r="F8" s="63">
        <v>0</v>
      </c>
    </row>
    <row r="9" spans="1:6" ht="13.5" thickBot="1" x14ac:dyDescent="0.25">
      <c r="B9" s="6" t="s">
        <v>129</v>
      </c>
      <c r="C9" s="78">
        <f>SUM(C6:C8)</f>
        <v>7591.79</v>
      </c>
      <c r="D9" s="78">
        <f>SUM(D6:D8)</f>
        <v>11454.48</v>
      </c>
      <c r="E9" s="78">
        <f>SUM(E6:E8)</f>
        <v>0</v>
      </c>
      <c r="F9" s="78">
        <f>SUM(F6:F8)</f>
        <v>0</v>
      </c>
    </row>
    <row r="10" spans="1:6" ht="13.5" thickTop="1" x14ac:dyDescent="0.2">
      <c r="B10" s="6"/>
      <c r="C10" s="62"/>
    </row>
    <row r="11" spans="1:6" x14ac:dyDescent="0.2">
      <c r="B11" s="4" t="s">
        <v>844</v>
      </c>
      <c r="C11" s="62"/>
    </row>
    <row r="12" spans="1:6" x14ac:dyDescent="0.2">
      <c r="C12" s="72">
        <v>0</v>
      </c>
      <c r="D12" s="72">
        <v>0</v>
      </c>
      <c r="E12" s="72">
        <v>0</v>
      </c>
      <c r="F12" s="72">
        <v>0</v>
      </c>
    </row>
    <row r="13" spans="1:6" x14ac:dyDescent="0.2">
      <c r="A13" s="62"/>
      <c r="B13" s="62"/>
      <c r="C13" s="60">
        <v>0</v>
      </c>
      <c r="D13" s="60">
        <v>0</v>
      </c>
      <c r="E13" s="60">
        <v>0</v>
      </c>
      <c r="F13" s="60">
        <v>0</v>
      </c>
    </row>
    <row r="14" spans="1:6" x14ac:dyDescent="0.2">
      <c r="A14" s="62"/>
      <c r="B14" s="62"/>
      <c r="C14" s="60">
        <v>0</v>
      </c>
      <c r="D14" s="60">
        <v>0</v>
      </c>
      <c r="E14" s="60">
        <v>0</v>
      </c>
      <c r="F14" s="60">
        <v>0</v>
      </c>
    </row>
    <row r="15" spans="1:6" ht="13.5" thickBot="1" x14ac:dyDescent="0.25">
      <c r="A15" s="62"/>
      <c r="B15" s="127" t="s">
        <v>1319</v>
      </c>
      <c r="C15" s="78">
        <f>SUM(C12:C14)</f>
        <v>0</v>
      </c>
      <c r="D15" s="78">
        <f>SUM(D12:D14)</f>
        <v>0</v>
      </c>
      <c r="E15" s="78">
        <f>SUM(E12:E14)</f>
        <v>0</v>
      </c>
      <c r="F15" s="78">
        <f>SUM(F12:F14)</f>
        <v>0</v>
      </c>
    </row>
    <row r="16" spans="1:6" ht="13.5" thickTop="1" x14ac:dyDescent="0.2">
      <c r="A16" t="s">
        <v>1410</v>
      </c>
      <c r="C16" s="62"/>
    </row>
    <row r="17" spans="1:8" x14ac:dyDescent="0.2">
      <c r="C17" s="62"/>
    </row>
    <row r="18" spans="1:8" x14ac:dyDescent="0.2">
      <c r="B18" s="4" t="s">
        <v>1320</v>
      </c>
      <c r="C18" s="72"/>
      <c r="D18" s="72"/>
      <c r="E18" s="72"/>
      <c r="F18" s="72"/>
    </row>
    <row r="19" spans="1:8" x14ac:dyDescent="0.2">
      <c r="B19" s="4" t="s">
        <v>1752</v>
      </c>
      <c r="C19" s="72"/>
      <c r="D19" s="72"/>
      <c r="E19" s="72"/>
      <c r="F19" s="72"/>
    </row>
    <row r="20" spans="1:8" x14ac:dyDescent="0.2">
      <c r="B20" s="4" t="s">
        <v>1321</v>
      </c>
      <c r="C20" s="72"/>
      <c r="D20" s="72"/>
      <c r="E20" s="72"/>
      <c r="F20" s="72"/>
    </row>
    <row r="21" spans="1:8" x14ac:dyDescent="0.2">
      <c r="B21" s="6"/>
      <c r="C21" s="77" t="str">
        <f>+C4</f>
        <v>2018 ACTUAL</v>
      </c>
      <c r="D21" s="77" t="str">
        <f>+D4</f>
        <v>2019 ACTUAL</v>
      </c>
      <c r="E21" s="77" t="str">
        <f>+E4</f>
        <v>2020 BUDGET</v>
      </c>
      <c r="F21" s="77" t="str">
        <f>+F4</f>
        <v>2021 BUDGET</v>
      </c>
    </row>
    <row r="22" spans="1:8" x14ac:dyDescent="0.2">
      <c r="C22" s="62"/>
    </row>
    <row r="23" spans="1:8" x14ac:dyDescent="0.2">
      <c r="B23" t="s">
        <v>1322</v>
      </c>
      <c r="C23" s="66">
        <v>3236.4799999999814</v>
      </c>
      <c r="D23" s="66">
        <f>+C31</f>
        <v>10828.269999999982</v>
      </c>
      <c r="E23" s="66">
        <f>+D31</f>
        <v>22282.749999999982</v>
      </c>
      <c r="F23" s="66">
        <f>+E31</f>
        <v>22282.749999999982</v>
      </c>
    </row>
    <row r="24" spans="1:8" x14ac:dyDescent="0.2">
      <c r="C24" s="62"/>
    </row>
    <row r="25" spans="1:8" x14ac:dyDescent="0.2">
      <c r="B25" t="s">
        <v>106</v>
      </c>
      <c r="C25" s="81">
        <f>C9</f>
        <v>7591.79</v>
      </c>
      <c r="D25" s="81">
        <f>D9</f>
        <v>11454.48</v>
      </c>
      <c r="E25" s="81">
        <f>E9</f>
        <v>0</v>
      </c>
      <c r="F25" s="81">
        <f>F9</f>
        <v>0</v>
      </c>
    </row>
    <row r="26" spans="1:8" x14ac:dyDescent="0.2">
      <c r="C26" s="67"/>
      <c r="D26" s="67"/>
      <c r="E26" s="67"/>
      <c r="F26" s="67"/>
    </row>
    <row r="27" spans="1:8" x14ac:dyDescent="0.2">
      <c r="A27" s="18"/>
      <c r="B27" t="s">
        <v>1324</v>
      </c>
      <c r="C27" s="81">
        <f>C15</f>
        <v>0</v>
      </c>
      <c r="D27" s="81">
        <f>D15</f>
        <v>0</v>
      </c>
      <c r="E27" s="81">
        <f>E15</f>
        <v>0</v>
      </c>
      <c r="F27" s="81">
        <f>F15</f>
        <v>0</v>
      </c>
    </row>
    <row r="28" spans="1:8" x14ac:dyDescent="0.2">
      <c r="A28" s="18"/>
      <c r="C28" s="67"/>
      <c r="D28" s="67"/>
      <c r="E28" s="67"/>
      <c r="F28" s="67"/>
    </row>
    <row r="29" spans="1:8" x14ac:dyDescent="0.2">
      <c r="A29" s="18"/>
      <c r="B29" t="s">
        <v>1325</v>
      </c>
      <c r="C29" s="63">
        <v>0</v>
      </c>
      <c r="D29" s="63">
        <v>0</v>
      </c>
      <c r="E29" s="63">
        <v>0</v>
      </c>
      <c r="F29" s="63">
        <v>0</v>
      </c>
    </row>
    <row r="30" spans="1:8" x14ac:dyDescent="0.2">
      <c r="C30" s="62"/>
    </row>
    <row r="31" spans="1:8" ht="13.5" thickBot="1" x14ac:dyDescent="0.25">
      <c r="A31" s="18"/>
      <c r="B31" t="s">
        <v>1326</v>
      </c>
      <c r="C31" s="71">
        <f>C23+C25-C27+C29</f>
        <v>10828.269999999982</v>
      </c>
      <c r="D31" s="71">
        <f>D23+D25-D27+D29</f>
        <v>22282.749999999982</v>
      </c>
      <c r="E31" s="71">
        <f>E23+E25-E27+E29</f>
        <v>22282.749999999982</v>
      </c>
      <c r="F31" s="71">
        <f>F23+F25-F27+F29</f>
        <v>22282.749999999982</v>
      </c>
      <c r="G31" s="62"/>
      <c r="H31" s="62"/>
    </row>
    <row r="32" spans="1:8" ht="13.5" thickTop="1" x14ac:dyDescent="0.2"/>
    <row r="130" spans="3:6" x14ac:dyDescent="0.2">
      <c r="C130" s="9"/>
      <c r="D130" s="81"/>
      <c r="E130" s="81"/>
      <c r="F130" s="81"/>
    </row>
  </sheetData>
  <pageMargins left="0.5" right="0.5" top="1" bottom="1" header="0.5" footer="0.5"/>
  <pageSetup scale="85" firstPageNumber="20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136"/>
  <sheetViews>
    <sheetView zoomScaleNormal="100" workbookViewId="0"/>
  </sheetViews>
  <sheetFormatPr defaultRowHeight="12.75" x14ac:dyDescent="0.2"/>
  <cols>
    <col min="1" max="1" width="14.85546875" bestFit="1" customWidth="1"/>
    <col min="2" max="2" width="38.85546875" customWidth="1"/>
    <col min="3" max="3" width="13.140625" bestFit="1" customWidth="1"/>
    <col min="4" max="4" width="15.42578125" style="220" customWidth="1"/>
    <col min="5" max="6" width="13.28515625" style="62" bestFit="1" customWidth="1"/>
    <col min="7" max="7" width="20.7109375" bestFit="1" customWidth="1"/>
    <col min="8" max="8" width="11.28515625" bestFit="1" customWidth="1"/>
  </cols>
  <sheetData>
    <row r="1" spans="1:6" x14ac:dyDescent="0.2">
      <c r="A1" s="18" t="s">
        <v>1410</v>
      </c>
      <c r="B1" s="4" t="s">
        <v>1320</v>
      </c>
      <c r="C1" s="1" t="s">
        <v>1410</v>
      </c>
      <c r="D1" s="276" t="s">
        <v>1410</v>
      </c>
      <c r="E1" s="75" t="s">
        <v>1410</v>
      </c>
      <c r="F1" s="75" t="s">
        <v>1410</v>
      </c>
    </row>
    <row r="2" spans="1:6" x14ac:dyDescent="0.2">
      <c r="A2" s="18"/>
      <c r="B2" s="4" t="s">
        <v>966</v>
      </c>
      <c r="C2" s="1" t="s">
        <v>1410</v>
      </c>
      <c r="D2" s="276" t="s">
        <v>1410</v>
      </c>
      <c r="E2" s="75" t="s">
        <v>1410</v>
      </c>
      <c r="F2" s="75" t="s">
        <v>1410</v>
      </c>
    </row>
    <row r="3" spans="1:6" x14ac:dyDescent="0.2">
      <c r="A3" s="18"/>
      <c r="B3" s="4" t="s">
        <v>299</v>
      </c>
      <c r="C3" s="1" t="s">
        <v>1410</v>
      </c>
      <c r="D3" s="276" t="s">
        <v>1410</v>
      </c>
      <c r="E3" s="75" t="s">
        <v>1410</v>
      </c>
      <c r="F3" s="75" t="s">
        <v>1410</v>
      </c>
    </row>
    <row r="4" spans="1:6" x14ac:dyDescent="0.2">
      <c r="A4" s="18"/>
      <c r="B4" s="4"/>
      <c r="C4" s="1"/>
      <c r="D4" s="276"/>
      <c r="E4" s="75"/>
      <c r="F4" s="75"/>
    </row>
    <row r="5" spans="1:6" x14ac:dyDescent="0.2">
      <c r="A5" s="18"/>
      <c r="C5" s="7" t="str">
        <f>+'100-Genl'!C4</f>
        <v>2018 ACTUAL</v>
      </c>
      <c r="D5" s="277" t="str">
        <f>+'100-Genl'!D4</f>
        <v>2019 ACTUAL</v>
      </c>
      <c r="E5" s="7" t="str">
        <f>+'100-Genl'!E4</f>
        <v>2020 BUDGET</v>
      </c>
      <c r="F5" s="7" t="str">
        <f>+'100-Genl'!F4</f>
        <v>2021 BUDGET</v>
      </c>
    </row>
    <row r="6" spans="1:6" x14ac:dyDescent="0.2">
      <c r="A6" s="18" t="s">
        <v>968</v>
      </c>
      <c r="B6" s="4" t="s">
        <v>300</v>
      </c>
    </row>
    <row r="7" spans="1:6" x14ac:dyDescent="0.2">
      <c r="A7" s="18" t="s">
        <v>1433</v>
      </c>
      <c r="B7" s="254" t="s">
        <v>1831</v>
      </c>
      <c r="C7" s="80">
        <v>1601013.04</v>
      </c>
      <c r="D7" s="249">
        <v>2750635.08</v>
      </c>
      <c r="E7" s="34">
        <v>2947531</v>
      </c>
      <c r="F7" s="34">
        <f>intro!H379</f>
        <v>2992297.9461868941</v>
      </c>
    </row>
    <row r="8" spans="1:6" x14ac:dyDescent="0.2">
      <c r="A8" s="18" t="s">
        <v>1434</v>
      </c>
      <c r="B8" s="254" t="s">
        <v>1832</v>
      </c>
      <c r="C8" s="63">
        <v>71483.149999999994</v>
      </c>
      <c r="D8" s="278">
        <v>86266.15</v>
      </c>
      <c r="E8" s="63">
        <v>80625</v>
      </c>
      <c r="F8" s="63">
        <f>+intro!K389</f>
        <v>90300</v>
      </c>
    </row>
    <row r="9" spans="1:6" x14ac:dyDescent="0.2">
      <c r="A9" s="18"/>
      <c r="B9" s="6" t="s">
        <v>1099</v>
      </c>
      <c r="C9" s="69">
        <f>SUM(C7:C8)</f>
        <v>1672496.19</v>
      </c>
      <c r="D9" s="279">
        <f>SUM(D7:D8)</f>
        <v>2836901.23</v>
      </c>
      <c r="E9" s="69">
        <f>SUM(E7:E8)</f>
        <v>3028156</v>
      </c>
      <c r="F9" s="69">
        <f>SUM(F7:F8)</f>
        <v>3082597.9461868941</v>
      </c>
    </row>
    <row r="11" spans="1:6" x14ac:dyDescent="0.2">
      <c r="A11" s="18" t="s">
        <v>969</v>
      </c>
      <c r="B11" s="4" t="s">
        <v>655</v>
      </c>
    </row>
    <row r="12" spans="1:6" x14ac:dyDescent="0.2">
      <c r="A12" s="18" t="s">
        <v>1435</v>
      </c>
      <c r="B12" s="254" t="s">
        <v>2065</v>
      </c>
      <c r="C12" s="66">
        <v>640268</v>
      </c>
      <c r="D12" s="220">
        <v>644204.5</v>
      </c>
      <c r="E12" s="66">
        <v>630000</v>
      </c>
      <c r="F12" s="66">
        <v>530000</v>
      </c>
    </row>
    <row r="13" spans="1:6" x14ac:dyDescent="0.2">
      <c r="A13" s="18" t="s">
        <v>1436</v>
      </c>
      <c r="B13" s="254" t="s">
        <v>2066</v>
      </c>
      <c r="C13" s="67">
        <v>360367.83</v>
      </c>
      <c r="D13" s="220">
        <v>360918.61</v>
      </c>
      <c r="E13" s="67">
        <v>360000</v>
      </c>
      <c r="F13" s="67">
        <v>360000</v>
      </c>
    </row>
    <row r="14" spans="1:6" x14ac:dyDescent="0.2">
      <c r="A14" s="18" t="s">
        <v>1437</v>
      </c>
      <c r="B14" s="254" t="s">
        <v>2067</v>
      </c>
      <c r="C14" s="81">
        <v>200</v>
      </c>
      <c r="D14" s="220">
        <v>200</v>
      </c>
      <c r="E14" s="81">
        <v>200</v>
      </c>
      <c r="F14" s="81">
        <v>200</v>
      </c>
    </row>
    <row r="15" spans="1:6" x14ac:dyDescent="0.2">
      <c r="A15" s="18" t="s">
        <v>1500</v>
      </c>
      <c r="B15" s="254" t="s">
        <v>2068</v>
      </c>
      <c r="C15" s="81">
        <v>15764.46</v>
      </c>
      <c r="D15" s="220">
        <v>22542.57</v>
      </c>
      <c r="E15" s="81">
        <v>16000</v>
      </c>
      <c r="F15" s="81">
        <v>16000</v>
      </c>
    </row>
    <row r="16" spans="1:6" x14ac:dyDescent="0.2">
      <c r="A16" s="18" t="s">
        <v>1438</v>
      </c>
      <c r="B16" s="254" t="s">
        <v>2069</v>
      </c>
      <c r="C16" s="67">
        <v>400</v>
      </c>
      <c r="D16" s="220">
        <v>460</v>
      </c>
      <c r="E16" s="67">
        <v>400</v>
      </c>
      <c r="F16" s="67">
        <v>400</v>
      </c>
    </row>
    <row r="17" spans="1:6" x14ac:dyDescent="0.2">
      <c r="A17" s="18"/>
      <c r="B17" s="6" t="s">
        <v>1099</v>
      </c>
      <c r="C17" s="69">
        <f>SUM(C12:C16)</f>
        <v>1017000.29</v>
      </c>
      <c r="D17" s="279">
        <f>SUM(D12:D16)</f>
        <v>1028325.6799999999</v>
      </c>
      <c r="E17" s="69">
        <f>SUM(E12:E16)</f>
        <v>1006600</v>
      </c>
      <c r="F17" s="69">
        <f>SUM(F12:F16)</f>
        <v>906600</v>
      </c>
    </row>
    <row r="19" spans="1:6" x14ac:dyDescent="0.2">
      <c r="A19" s="18" t="s">
        <v>970</v>
      </c>
      <c r="B19" s="4" t="s">
        <v>355</v>
      </c>
    </row>
    <row r="20" spans="1:6" x14ac:dyDescent="0.2">
      <c r="A20" s="18" t="s">
        <v>1439</v>
      </c>
      <c r="B20" s="254" t="s">
        <v>2070</v>
      </c>
      <c r="C20" s="66">
        <v>33949.49</v>
      </c>
      <c r="D20" s="220">
        <v>105926.94</v>
      </c>
      <c r="E20" s="66">
        <v>34000</v>
      </c>
      <c r="F20" s="66">
        <v>34000</v>
      </c>
    </row>
    <row r="21" spans="1:6" x14ac:dyDescent="0.2">
      <c r="A21" s="18" t="s">
        <v>1441</v>
      </c>
      <c r="B21" s="254" t="s">
        <v>2071</v>
      </c>
      <c r="C21" s="67">
        <v>75758.41</v>
      </c>
      <c r="D21" s="220">
        <v>47263.53</v>
      </c>
      <c r="E21" s="67">
        <v>49000</v>
      </c>
      <c r="F21" s="67">
        <v>49000</v>
      </c>
    </row>
    <row r="22" spans="1:6" x14ac:dyDescent="0.2">
      <c r="A22" s="18" t="s">
        <v>1714</v>
      </c>
      <c r="B22" s="254" t="s">
        <v>2072</v>
      </c>
      <c r="C22" s="67">
        <v>0</v>
      </c>
      <c r="D22" s="220">
        <v>0</v>
      </c>
      <c r="E22" s="67">
        <v>500</v>
      </c>
      <c r="F22" s="67">
        <v>500</v>
      </c>
    </row>
    <row r="23" spans="1:6" x14ac:dyDescent="0.2">
      <c r="A23" s="18" t="s">
        <v>1440</v>
      </c>
      <c r="B23" s="254" t="s">
        <v>1842</v>
      </c>
      <c r="C23" s="63">
        <v>247661.99</v>
      </c>
      <c r="D23" s="278">
        <v>0.5</v>
      </c>
      <c r="E23" s="63">
        <v>0</v>
      </c>
      <c r="F23" s="63">
        <v>0</v>
      </c>
    </row>
    <row r="24" spans="1:6" x14ac:dyDescent="0.2">
      <c r="A24" s="18"/>
      <c r="B24" s="6" t="s">
        <v>1099</v>
      </c>
      <c r="C24" s="69">
        <f>SUM(C20:C23)</f>
        <v>357369.89</v>
      </c>
      <c r="D24" s="279">
        <f>SUM(D20:D23)</f>
        <v>153190.97</v>
      </c>
      <c r="E24" s="69">
        <f>SUM(E20:E23)</f>
        <v>83500</v>
      </c>
      <c r="F24" s="69">
        <f>SUM(F20:F23)</f>
        <v>83500</v>
      </c>
    </row>
    <row r="26" spans="1:6" x14ac:dyDescent="0.2">
      <c r="A26" s="191" t="s">
        <v>46</v>
      </c>
      <c r="B26" s="4" t="s">
        <v>301</v>
      </c>
    </row>
    <row r="27" spans="1:6" x14ac:dyDescent="0.2">
      <c r="A27" s="18" t="s">
        <v>45</v>
      </c>
      <c r="B27" s="254" t="s">
        <v>2073</v>
      </c>
      <c r="C27" s="73">
        <v>0</v>
      </c>
      <c r="D27" s="278">
        <v>129296.05</v>
      </c>
      <c r="E27" s="73">
        <v>20000</v>
      </c>
      <c r="F27" s="73">
        <v>20000</v>
      </c>
    </row>
    <row r="28" spans="1:6" x14ac:dyDescent="0.2">
      <c r="B28" s="6" t="s">
        <v>1099</v>
      </c>
      <c r="C28" s="24">
        <f>SUM(C27)</f>
        <v>0</v>
      </c>
      <c r="D28" s="279">
        <f>SUM(D27)</f>
        <v>129296.05</v>
      </c>
      <c r="E28" s="69">
        <f>SUM(E27)</f>
        <v>20000</v>
      </c>
      <c r="F28" s="69">
        <f>SUM(F27)</f>
        <v>20000</v>
      </c>
    </row>
    <row r="30" spans="1:6" x14ac:dyDescent="0.2">
      <c r="A30" s="18" t="s">
        <v>971</v>
      </c>
      <c r="B30" s="4" t="s">
        <v>656</v>
      </c>
    </row>
    <row r="31" spans="1:6" x14ac:dyDescent="0.2">
      <c r="A31" s="18" t="s">
        <v>1442</v>
      </c>
      <c r="B31" s="254" t="s">
        <v>1854</v>
      </c>
      <c r="C31" s="66">
        <v>109162.35</v>
      </c>
      <c r="D31" s="220">
        <v>91962.45</v>
      </c>
      <c r="E31" s="66">
        <v>105000</v>
      </c>
      <c r="F31" s="66">
        <v>60000</v>
      </c>
    </row>
    <row r="32" spans="1:6" x14ac:dyDescent="0.2">
      <c r="A32" s="18" t="s">
        <v>1443</v>
      </c>
      <c r="B32" s="254" t="s">
        <v>1857</v>
      </c>
      <c r="C32" s="67">
        <v>89531.47</v>
      </c>
      <c r="D32" s="220">
        <v>277077.90000000002</v>
      </c>
      <c r="E32" s="67">
        <v>89000</v>
      </c>
      <c r="F32" s="67">
        <v>40000</v>
      </c>
    </row>
    <row r="33" spans="1:8" x14ac:dyDescent="0.2">
      <c r="A33" s="18" t="s">
        <v>1444</v>
      </c>
      <c r="B33" s="254" t="s">
        <v>1855</v>
      </c>
      <c r="C33" s="82">
        <v>302326.40999999997</v>
      </c>
      <c r="D33" s="280">
        <v>249487.62</v>
      </c>
      <c r="E33" s="82">
        <v>300000</v>
      </c>
      <c r="F33" s="82">
        <v>150000</v>
      </c>
    </row>
    <row r="34" spans="1:8" x14ac:dyDescent="0.2">
      <c r="A34" s="18" t="s">
        <v>1445</v>
      </c>
      <c r="B34" s="254" t="s">
        <v>1856</v>
      </c>
      <c r="C34" s="67">
        <v>225802.17</v>
      </c>
      <c r="D34" s="220">
        <v>84705</v>
      </c>
      <c r="E34" s="67">
        <v>225000</v>
      </c>
      <c r="F34" s="67">
        <v>110000</v>
      </c>
    </row>
    <row r="35" spans="1:8" x14ac:dyDescent="0.2">
      <c r="A35" s="18" t="s">
        <v>1447</v>
      </c>
      <c r="B35" s="254" t="s">
        <v>2074</v>
      </c>
      <c r="C35" s="82">
        <v>58469.8</v>
      </c>
      <c r="D35" s="280">
        <v>74206.3</v>
      </c>
      <c r="E35" s="82">
        <v>58000</v>
      </c>
      <c r="F35" s="82">
        <v>58000</v>
      </c>
    </row>
    <row r="36" spans="1:8" x14ac:dyDescent="0.2">
      <c r="A36" s="18" t="s">
        <v>1446</v>
      </c>
      <c r="B36" s="254" t="s">
        <v>2075</v>
      </c>
      <c r="C36" s="67">
        <v>95678.25</v>
      </c>
      <c r="D36" s="220">
        <v>91561.7</v>
      </c>
      <c r="E36" s="67">
        <v>95000</v>
      </c>
      <c r="F36" s="67">
        <v>80000</v>
      </c>
    </row>
    <row r="37" spans="1:8" x14ac:dyDescent="0.2">
      <c r="A37" s="18" t="s">
        <v>1448</v>
      </c>
      <c r="B37" s="254" t="s">
        <v>2076</v>
      </c>
      <c r="C37" s="63">
        <v>8401</v>
      </c>
      <c r="D37" s="278">
        <v>8026</v>
      </c>
      <c r="E37" s="63">
        <v>8000</v>
      </c>
      <c r="F37" s="63">
        <v>8000</v>
      </c>
    </row>
    <row r="38" spans="1:8" x14ac:dyDescent="0.2">
      <c r="A38" s="18"/>
      <c r="B38" s="6" t="s">
        <v>1099</v>
      </c>
      <c r="C38" s="69">
        <f>SUM(C31:C37)</f>
        <v>889371.45000000007</v>
      </c>
      <c r="D38" s="279">
        <f>SUM(D31:D37)</f>
        <v>877026.97</v>
      </c>
      <c r="E38" s="69">
        <f>SUM(E31:E37)</f>
        <v>880000</v>
      </c>
      <c r="F38" s="69">
        <f>SUM(F31:F37)</f>
        <v>506000</v>
      </c>
    </row>
    <row r="39" spans="1:8" x14ac:dyDescent="0.2">
      <c r="C39" s="62"/>
    </row>
    <row r="40" spans="1:8" x14ac:dyDescent="0.2">
      <c r="A40" s="18" t="s">
        <v>972</v>
      </c>
      <c r="B40" s="4" t="s">
        <v>1557</v>
      </c>
      <c r="C40" s="62"/>
    </row>
    <row r="41" spans="1:8" x14ac:dyDescent="0.2">
      <c r="A41" s="18" t="s">
        <v>1449</v>
      </c>
      <c r="B41" s="254" t="s">
        <v>1746</v>
      </c>
      <c r="C41" s="74">
        <v>15214.14</v>
      </c>
      <c r="D41" s="280">
        <v>27012.41</v>
      </c>
      <c r="E41" s="74">
        <v>15000</v>
      </c>
      <c r="F41" s="74">
        <v>15000</v>
      </c>
    </row>
    <row r="42" spans="1:8" x14ac:dyDescent="0.2">
      <c r="A42" s="18" t="s">
        <v>1452</v>
      </c>
      <c r="B42" s="254" t="s">
        <v>1872</v>
      </c>
      <c r="C42" s="67">
        <v>1446891.32</v>
      </c>
      <c r="D42" s="220">
        <v>121.6</v>
      </c>
      <c r="E42" s="67">
        <v>20000</v>
      </c>
      <c r="F42" s="67">
        <f>1110000+20000</f>
        <v>1130000</v>
      </c>
    </row>
    <row r="43" spans="1:8" x14ac:dyDescent="0.2">
      <c r="A43" s="18" t="s">
        <v>1450</v>
      </c>
      <c r="B43" s="254" t="s">
        <v>1879</v>
      </c>
      <c r="C43" s="67">
        <v>0</v>
      </c>
      <c r="D43" s="220">
        <v>0</v>
      </c>
      <c r="E43" s="67">
        <v>0</v>
      </c>
      <c r="F43" s="67">
        <v>0</v>
      </c>
      <c r="H43" s="209"/>
    </row>
    <row r="44" spans="1:8" x14ac:dyDescent="0.2">
      <c r="A44" s="18" t="s">
        <v>1451</v>
      </c>
      <c r="B44" s="254" t="s">
        <v>1882</v>
      </c>
      <c r="C44" s="63">
        <v>1524.07</v>
      </c>
      <c r="D44" s="278">
        <v>739.68</v>
      </c>
      <c r="E44" s="63">
        <v>2000</v>
      </c>
      <c r="F44" s="63">
        <v>2000</v>
      </c>
      <c r="H44" s="209"/>
    </row>
    <row r="45" spans="1:8" x14ac:dyDescent="0.2">
      <c r="A45" s="18"/>
      <c r="B45" s="6" t="s">
        <v>1099</v>
      </c>
      <c r="C45" s="69">
        <f>SUM(C41:C44)</f>
        <v>1463629.53</v>
      </c>
      <c r="D45" s="279">
        <f>SUM(D41:D44)</f>
        <v>27873.69</v>
      </c>
      <c r="E45" s="69">
        <f>SUM(E41:E44)</f>
        <v>37000</v>
      </c>
      <c r="F45" s="69">
        <f>SUM(F41:F44)</f>
        <v>1147000</v>
      </c>
    </row>
    <row r="46" spans="1:8" x14ac:dyDescent="0.2">
      <c r="C46" s="62"/>
    </row>
    <row r="47" spans="1:8" x14ac:dyDescent="0.2">
      <c r="A47" s="37">
        <v>140.4</v>
      </c>
      <c r="B47" s="4" t="s">
        <v>1829</v>
      </c>
      <c r="C47" s="72"/>
      <c r="D47" s="281"/>
      <c r="E47" s="72"/>
      <c r="F47" s="72"/>
    </row>
    <row r="48" spans="1:8" x14ac:dyDescent="0.2">
      <c r="A48" s="37" t="s">
        <v>2097</v>
      </c>
      <c r="B48" s="253" t="s">
        <v>1886</v>
      </c>
      <c r="C48" s="82">
        <v>0</v>
      </c>
      <c r="D48" s="280">
        <v>147100</v>
      </c>
      <c r="E48" s="63">
        <f>200000</f>
        <v>200000</v>
      </c>
      <c r="F48" s="82">
        <v>0</v>
      </c>
    </row>
    <row r="49" spans="1:6" x14ac:dyDescent="0.2">
      <c r="A49" s="37"/>
      <c r="B49" s="6"/>
      <c r="C49" s="263">
        <f t="shared" ref="C49:F49" si="0">+C48</f>
        <v>0</v>
      </c>
      <c r="D49" s="282">
        <f t="shared" si="0"/>
        <v>147100</v>
      </c>
      <c r="E49" s="263">
        <f t="shared" si="0"/>
        <v>200000</v>
      </c>
      <c r="F49" s="263">
        <f t="shared" si="0"/>
        <v>0</v>
      </c>
    </row>
    <row r="50" spans="1:6" x14ac:dyDescent="0.2">
      <c r="C50" s="62"/>
    </row>
    <row r="51" spans="1:6" ht="13.5" thickBot="1" x14ac:dyDescent="0.25">
      <c r="A51" s="18"/>
      <c r="B51" s="6" t="s">
        <v>129</v>
      </c>
      <c r="C51" s="71">
        <f>C9+C17+C24+C28+C38+C45+C49</f>
        <v>5399867.3500000006</v>
      </c>
      <c r="D51" s="283">
        <f>D9+D17+D24+D28+D38+D45+D49</f>
        <v>5199714.5900000008</v>
      </c>
      <c r="E51" s="71">
        <f>E9+E17+E24+E28+E38+E45+E49</f>
        <v>5255256</v>
      </c>
      <c r="F51" s="71">
        <f>F9+F17+F24+F28+F38+F45+F49</f>
        <v>5745697.9461868946</v>
      </c>
    </row>
    <row r="52" spans="1:6" ht="13.5" thickTop="1" x14ac:dyDescent="0.2">
      <c r="A52" s="18"/>
      <c r="B52" s="6"/>
      <c r="C52" s="15"/>
      <c r="D52" s="281"/>
      <c r="E52" s="72"/>
      <c r="F52" s="72"/>
    </row>
    <row r="53" spans="1:6" x14ac:dyDescent="0.2">
      <c r="A53" s="18"/>
      <c r="B53" s="6"/>
      <c r="C53" s="15"/>
      <c r="D53" s="281"/>
      <c r="E53" s="72"/>
      <c r="F53" s="72"/>
    </row>
    <row r="54" spans="1:6" x14ac:dyDescent="0.2">
      <c r="A54" s="18"/>
      <c r="B54" s="6"/>
      <c r="C54" s="15"/>
      <c r="D54" s="281"/>
      <c r="E54" s="72"/>
      <c r="F54" s="72"/>
    </row>
    <row r="55" spans="1:6" x14ac:dyDescent="0.2">
      <c r="A55" s="18"/>
      <c r="B55" s="6"/>
      <c r="C55" s="15"/>
      <c r="D55" s="281"/>
      <c r="E55" s="72"/>
      <c r="F55" s="72"/>
    </row>
    <row r="56" spans="1:6" x14ac:dyDescent="0.2">
      <c r="A56" s="18"/>
      <c r="B56" s="6"/>
      <c r="C56" s="15"/>
      <c r="D56" s="281"/>
      <c r="E56" s="72"/>
      <c r="F56" s="72"/>
    </row>
    <row r="57" spans="1:6" x14ac:dyDescent="0.2">
      <c r="A57" s="18"/>
      <c r="B57" s="6"/>
      <c r="C57" s="15"/>
      <c r="D57" s="281"/>
      <c r="E57" s="72"/>
      <c r="F57" s="72"/>
    </row>
    <row r="58" spans="1:6" x14ac:dyDescent="0.2">
      <c r="A58" s="18"/>
      <c r="B58" s="6"/>
      <c r="C58" s="15"/>
      <c r="D58" s="281"/>
      <c r="E58" s="72"/>
      <c r="F58" s="72"/>
    </row>
    <row r="59" spans="1:6" x14ac:dyDescent="0.2">
      <c r="A59" s="18"/>
      <c r="B59" s="6"/>
      <c r="C59" s="15"/>
      <c r="D59" s="281"/>
      <c r="E59" s="72"/>
      <c r="F59" s="72"/>
    </row>
    <row r="60" spans="1:6" x14ac:dyDescent="0.2">
      <c r="A60" s="18"/>
      <c r="B60" s="4" t="s">
        <v>1320</v>
      </c>
      <c r="C60" s="1" t="s">
        <v>1410</v>
      </c>
      <c r="D60" s="276" t="s">
        <v>1410</v>
      </c>
      <c r="E60" s="75" t="s">
        <v>1410</v>
      </c>
      <c r="F60" s="75" t="s">
        <v>1410</v>
      </c>
    </row>
    <row r="61" spans="1:6" x14ac:dyDescent="0.2">
      <c r="A61" s="18"/>
      <c r="B61" s="4" t="s">
        <v>966</v>
      </c>
      <c r="C61" s="1" t="s">
        <v>1410</v>
      </c>
      <c r="D61" s="276" t="s">
        <v>1410</v>
      </c>
      <c r="E61" s="75" t="s">
        <v>1410</v>
      </c>
      <c r="F61" s="75" t="s">
        <v>1410</v>
      </c>
    </row>
    <row r="62" spans="1:6" x14ac:dyDescent="0.2">
      <c r="A62" s="18"/>
      <c r="B62" s="4" t="s">
        <v>844</v>
      </c>
      <c r="C62" s="1" t="s">
        <v>1410</v>
      </c>
      <c r="D62" s="276" t="s">
        <v>1410</v>
      </c>
      <c r="E62" s="75" t="s">
        <v>1410</v>
      </c>
      <c r="F62" s="75" t="s">
        <v>1410</v>
      </c>
    </row>
    <row r="63" spans="1:6" x14ac:dyDescent="0.2">
      <c r="A63" s="18"/>
      <c r="B63" s="4"/>
      <c r="C63" s="1"/>
      <c r="D63" s="276"/>
      <c r="E63" s="75"/>
      <c r="F63" s="75"/>
    </row>
    <row r="64" spans="1:6" x14ac:dyDescent="0.2">
      <c r="A64" s="18"/>
      <c r="C64" s="7" t="str">
        <f>+C5</f>
        <v>2018 ACTUAL</v>
      </c>
      <c r="D64" s="277" t="str">
        <f>+D5</f>
        <v>2019 ACTUAL</v>
      </c>
      <c r="E64" s="7" t="str">
        <f>+E5</f>
        <v>2020 BUDGET</v>
      </c>
      <c r="F64" s="7" t="str">
        <f>+F5</f>
        <v>2021 BUDGET</v>
      </c>
    </row>
    <row r="65" spans="1:7" x14ac:dyDescent="0.2">
      <c r="A65" s="264">
        <v>140.4</v>
      </c>
      <c r="B65" s="4" t="s">
        <v>1829</v>
      </c>
      <c r="C65" s="72"/>
      <c r="D65" s="281"/>
      <c r="E65" s="72"/>
      <c r="F65" s="72"/>
    </row>
    <row r="66" spans="1:7" x14ac:dyDescent="0.2">
      <c r="A66" s="37" t="s">
        <v>2097</v>
      </c>
      <c r="B66" s="254" t="s">
        <v>1887</v>
      </c>
      <c r="C66" s="82">
        <v>0</v>
      </c>
      <c r="D66" s="280">
        <v>0</v>
      </c>
      <c r="E66" s="63">
        <v>0</v>
      </c>
      <c r="F66" s="82">
        <v>0</v>
      </c>
    </row>
    <row r="67" spans="1:7" x14ac:dyDescent="0.2">
      <c r="A67" s="37"/>
      <c r="B67" s="6"/>
      <c r="C67" s="263">
        <f t="shared" ref="C67:F67" si="1">+C66</f>
        <v>0</v>
      </c>
      <c r="D67" s="282">
        <f t="shared" si="1"/>
        <v>0</v>
      </c>
      <c r="E67" s="263">
        <f t="shared" si="1"/>
        <v>0</v>
      </c>
      <c r="F67" s="263">
        <f t="shared" si="1"/>
        <v>0</v>
      </c>
    </row>
    <row r="68" spans="1:7" x14ac:dyDescent="0.2">
      <c r="A68" s="18" t="s">
        <v>524</v>
      </c>
      <c r="B68" s="4" t="s">
        <v>1408</v>
      </c>
    </row>
    <row r="69" spans="1:7" x14ac:dyDescent="0.2">
      <c r="A69" s="18" t="s">
        <v>525</v>
      </c>
      <c r="B69" s="254" t="s">
        <v>1909</v>
      </c>
      <c r="C69" s="66">
        <v>94201.12</v>
      </c>
      <c r="D69" s="220">
        <v>100847.15</v>
      </c>
      <c r="E69" s="66">
        <v>95801</v>
      </c>
      <c r="F69" s="66">
        <v>63432</v>
      </c>
      <c r="G69" s="66"/>
    </row>
    <row r="70" spans="1:7" x14ac:dyDescent="0.2">
      <c r="A70" s="18" t="s">
        <v>526</v>
      </c>
      <c r="B70" s="253" t="s">
        <v>1908</v>
      </c>
      <c r="C70" s="67">
        <v>65958.19</v>
      </c>
      <c r="D70" s="220">
        <v>61774.73</v>
      </c>
      <c r="E70" s="67">
        <f>29616+35032</f>
        <v>64648</v>
      </c>
      <c r="F70" s="67">
        <f>30816+36232</f>
        <v>67048</v>
      </c>
      <c r="G70" s="66"/>
    </row>
    <row r="71" spans="1:7" x14ac:dyDescent="0.2">
      <c r="A71" s="18" t="s">
        <v>1250</v>
      </c>
      <c r="B71" s="254" t="s">
        <v>1989</v>
      </c>
      <c r="C71" s="34">
        <v>52505.84</v>
      </c>
      <c r="D71" s="249">
        <v>57158.67</v>
      </c>
      <c r="E71" s="34">
        <f>14560*3+7325*6</f>
        <v>87630</v>
      </c>
      <c r="F71" s="34">
        <f>15066*3+7450*6</f>
        <v>89898</v>
      </c>
      <c r="G71" s="66"/>
    </row>
    <row r="72" spans="1:7" x14ac:dyDescent="0.2">
      <c r="A72" s="18" t="s">
        <v>1591</v>
      </c>
      <c r="B72" s="253" t="s">
        <v>2078</v>
      </c>
      <c r="C72" s="34">
        <v>2731.61</v>
      </c>
      <c r="D72" s="249">
        <v>3199.82</v>
      </c>
      <c r="E72" s="34">
        <v>3200</v>
      </c>
      <c r="F72" s="34">
        <v>6400</v>
      </c>
      <c r="G72" s="66"/>
    </row>
    <row r="73" spans="1:7" x14ac:dyDescent="0.2">
      <c r="A73" s="18" t="s">
        <v>527</v>
      </c>
      <c r="B73" s="253" t="s">
        <v>2077</v>
      </c>
      <c r="C73" s="34">
        <v>1522428.36</v>
      </c>
      <c r="D73" s="249">
        <v>1666213.36</v>
      </c>
      <c r="E73" s="34">
        <f>1875453-E71-E70-E69</f>
        <v>1627374</v>
      </c>
      <c r="F73" s="34">
        <f>1796004-F70-F69</f>
        <v>1665524</v>
      </c>
      <c r="G73" s="66"/>
    </row>
    <row r="74" spans="1:7" x14ac:dyDescent="0.2">
      <c r="A74" s="18" t="s">
        <v>528</v>
      </c>
      <c r="B74" s="253" t="s">
        <v>1893</v>
      </c>
      <c r="C74" s="67">
        <v>11178.95</v>
      </c>
      <c r="D74" s="220">
        <v>19130.599999999999</v>
      </c>
      <c r="E74" s="67">
        <v>20820</v>
      </c>
      <c r="F74" s="67">
        <v>17820</v>
      </c>
      <c r="G74" s="66"/>
    </row>
    <row r="75" spans="1:7" x14ac:dyDescent="0.2">
      <c r="A75" s="18" t="s">
        <v>529</v>
      </c>
      <c r="B75" s="253" t="s">
        <v>1895</v>
      </c>
      <c r="C75" s="34">
        <v>124212.74</v>
      </c>
      <c r="D75" s="249">
        <v>135321.54</v>
      </c>
      <c r="E75" s="34">
        <v>145539</v>
      </c>
      <c r="F75" s="34">
        <v>146308</v>
      </c>
      <c r="G75" s="66"/>
    </row>
    <row r="76" spans="1:7" x14ac:dyDescent="0.2">
      <c r="A76" s="18" t="s">
        <v>530</v>
      </c>
      <c r="B76" s="253" t="s">
        <v>1896</v>
      </c>
      <c r="C76" s="34">
        <v>200678.62</v>
      </c>
      <c r="D76" s="249">
        <v>213555.36</v>
      </c>
      <c r="E76" s="34">
        <v>226045</v>
      </c>
      <c r="F76" s="34">
        <v>236823</v>
      </c>
      <c r="G76" s="66"/>
    </row>
    <row r="77" spans="1:7" x14ac:dyDescent="0.2">
      <c r="A77" s="18" t="s">
        <v>531</v>
      </c>
      <c r="B77" s="253" t="s">
        <v>1897</v>
      </c>
      <c r="C77" s="34">
        <v>276950</v>
      </c>
      <c r="D77" s="249">
        <v>334255</v>
      </c>
      <c r="E77" s="34">
        <f>358800+4147</f>
        <v>362947</v>
      </c>
      <c r="F77" s="34">
        <f>351000+4147</f>
        <v>355147</v>
      </c>
      <c r="G77" s="66"/>
    </row>
    <row r="78" spans="1:7" x14ac:dyDescent="0.2">
      <c r="A78" s="18" t="s">
        <v>532</v>
      </c>
      <c r="B78" s="253" t="s">
        <v>1898</v>
      </c>
      <c r="C78" s="67">
        <v>0</v>
      </c>
      <c r="D78" s="220">
        <v>0</v>
      </c>
      <c r="E78" s="67">
        <v>0</v>
      </c>
      <c r="F78" s="67">
        <v>0</v>
      </c>
      <c r="G78" s="66"/>
    </row>
    <row r="79" spans="1:7" x14ac:dyDescent="0.2">
      <c r="A79" s="18" t="s">
        <v>533</v>
      </c>
      <c r="B79" s="253" t="s">
        <v>1910</v>
      </c>
      <c r="C79" s="67">
        <v>53.99</v>
      </c>
      <c r="D79" s="220">
        <v>506.4</v>
      </c>
      <c r="E79" s="67">
        <v>1000</v>
      </c>
      <c r="F79" s="67">
        <v>1000</v>
      </c>
      <c r="G79" s="66"/>
    </row>
    <row r="80" spans="1:7" x14ac:dyDescent="0.2">
      <c r="A80" s="18" t="s">
        <v>534</v>
      </c>
      <c r="B80" s="253" t="s">
        <v>1899</v>
      </c>
      <c r="C80" s="67">
        <v>3038.85</v>
      </c>
      <c r="D80" s="220">
        <v>5112.3900000000003</v>
      </c>
      <c r="E80" s="67">
        <v>3000</v>
      </c>
      <c r="F80" s="67">
        <v>4000</v>
      </c>
      <c r="G80" s="66"/>
    </row>
    <row r="81" spans="1:7" x14ac:dyDescent="0.2">
      <c r="A81" s="18" t="s">
        <v>1715</v>
      </c>
      <c r="B81" s="253" t="s">
        <v>1991</v>
      </c>
      <c r="C81" s="67">
        <v>2790.52</v>
      </c>
      <c r="D81" s="220">
        <v>3615.66</v>
      </c>
      <c r="E81" s="67">
        <v>3000</v>
      </c>
      <c r="F81" s="67">
        <v>2000</v>
      </c>
      <c r="G81" s="66"/>
    </row>
    <row r="82" spans="1:7" x14ac:dyDescent="0.2">
      <c r="A82" s="18" t="s">
        <v>535</v>
      </c>
      <c r="B82" s="253" t="s">
        <v>1900</v>
      </c>
      <c r="C82" s="67">
        <v>223.41</v>
      </c>
      <c r="D82" s="220">
        <v>458.32</v>
      </c>
      <c r="E82" s="67">
        <v>500</v>
      </c>
      <c r="F82" s="67">
        <v>500</v>
      </c>
      <c r="G82" s="66"/>
    </row>
    <row r="83" spans="1:7" x14ac:dyDescent="0.2">
      <c r="A83" s="18" t="s">
        <v>536</v>
      </c>
      <c r="B83" s="253" t="s">
        <v>1901</v>
      </c>
      <c r="C83" s="67">
        <v>3100</v>
      </c>
      <c r="D83" s="220">
        <v>3020</v>
      </c>
      <c r="E83" s="67">
        <v>3000</v>
      </c>
      <c r="F83" s="67">
        <v>3120</v>
      </c>
      <c r="G83" s="66"/>
    </row>
    <row r="84" spans="1:7" x14ac:dyDescent="0.2">
      <c r="A84" s="18" t="s">
        <v>537</v>
      </c>
      <c r="B84" s="253" t="s">
        <v>1902</v>
      </c>
      <c r="C84" s="67">
        <v>1753.09</v>
      </c>
      <c r="D84" s="220">
        <v>1061.6500000000001</v>
      </c>
      <c r="E84" s="67">
        <v>4060</v>
      </c>
      <c r="F84" s="67">
        <v>3350</v>
      </c>
      <c r="G84" s="66"/>
    </row>
    <row r="85" spans="1:7" x14ac:dyDescent="0.2">
      <c r="A85" s="18" t="s">
        <v>1068</v>
      </c>
      <c r="B85" s="253" t="s">
        <v>2079</v>
      </c>
      <c r="C85" s="67">
        <v>1400</v>
      </c>
      <c r="D85" s="220">
        <v>2730</v>
      </c>
      <c r="E85" s="67">
        <v>2000</v>
      </c>
      <c r="F85" s="67">
        <v>2500</v>
      </c>
      <c r="G85" s="66"/>
    </row>
    <row r="86" spans="1:7" x14ac:dyDescent="0.2">
      <c r="A86" s="18" t="s">
        <v>538</v>
      </c>
      <c r="B86" s="253" t="s">
        <v>1903</v>
      </c>
      <c r="C86" s="67">
        <v>50</v>
      </c>
      <c r="D86" s="220">
        <v>50</v>
      </c>
      <c r="E86" s="67">
        <v>50</v>
      </c>
      <c r="F86" s="67">
        <v>50</v>
      </c>
      <c r="G86" s="66"/>
    </row>
    <row r="87" spans="1:7" x14ac:dyDescent="0.2">
      <c r="A87" s="18" t="s">
        <v>539</v>
      </c>
      <c r="B87" s="253" t="s">
        <v>1882</v>
      </c>
      <c r="C87" s="63">
        <v>1674.09</v>
      </c>
      <c r="D87" s="278">
        <v>2739.01</v>
      </c>
      <c r="E87" s="63">
        <v>3500</v>
      </c>
      <c r="F87" s="63">
        <v>3000</v>
      </c>
      <c r="G87" s="66"/>
    </row>
    <row r="88" spans="1:7" x14ac:dyDescent="0.2">
      <c r="A88" s="18"/>
      <c r="B88" s="6" t="s">
        <v>806</v>
      </c>
      <c r="C88" s="69">
        <f>SUM(C69:C87)</f>
        <v>2364929.3800000004</v>
      </c>
      <c r="D88" s="279">
        <f>SUM(D69:D87)</f>
        <v>2610749.6599999997</v>
      </c>
      <c r="E88" s="69">
        <f>SUM(E69:E87)</f>
        <v>2654114</v>
      </c>
      <c r="F88" s="69">
        <f>SUM(F69:F87)</f>
        <v>2667920</v>
      </c>
      <c r="G88" s="66"/>
    </row>
    <row r="89" spans="1:7" x14ac:dyDescent="0.2">
      <c r="C89" s="62"/>
      <c r="G89" s="66"/>
    </row>
    <row r="90" spans="1:7" x14ac:dyDescent="0.2">
      <c r="A90" s="18" t="s">
        <v>540</v>
      </c>
      <c r="B90" s="4" t="s">
        <v>807</v>
      </c>
      <c r="C90" s="62"/>
      <c r="G90" s="66"/>
    </row>
    <row r="91" spans="1:7" x14ac:dyDescent="0.2">
      <c r="A91" s="18" t="s">
        <v>541</v>
      </c>
      <c r="B91" s="253" t="s">
        <v>2080</v>
      </c>
      <c r="C91" s="66">
        <v>8981.2099999999991</v>
      </c>
      <c r="D91" s="220">
        <v>13776.78</v>
      </c>
      <c r="E91" s="66">
        <v>13000</v>
      </c>
      <c r="F91" s="66">
        <v>14000</v>
      </c>
      <c r="G91" s="66"/>
    </row>
    <row r="92" spans="1:7" x14ac:dyDescent="0.2">
      <c r="A92" s="18" t="s">
        <v>542</v>
      </c>
      <c r="B92" s="253" t="s">
        <v>2081</v>
      </c>
      <c r="C92" s="82">
        <v>42198.7</v>
      </c>
      <c r="D92" s="280">
        <v>50739.85</v>
      </c>
      <c r="E92" s="82">
        <v>63000</v>
      </c>
      <c r="F92" s="82">
        <v>65000</v>
      </c>
      <c r="G92" s="66"/>
    </row>
    <row r="93" spans="1:7" x14ac:dyDescent="0.2">
      <c r="A93" s="18" t="s">
        <v>543</v>
      </c>
      <c r="B93" s="253" t="s">
        <v>1973</v>
      </c>
      <c r="C93" s="82">
        <v>287176.65999999997</v>
      </c>
      <c r="D93" s="280">
        <v>270345.68</v>
      </c>
      <c r="E93" s="82">
        <v>290000</v>
      </c>
      <c r="F93" s="82">
        <v>290000</v>
      </c>
      <c r="G93" s="66"/>
    </row>
    <row r="94" spans="1:7" x14ac:dyDescent="0.2">
      <c r="A94" s="18" t="s">
        <v>544</v>
      </c>
      <c r="B94" s="253" t="s">
        <v>2082</v>
      </c>
      <c r="C94" s="82">
        <v>162835.14000000001</v>
      </c>
      <c r="D94" s="280">
        <v>215070.54</v>
      </c>
      <c r="E94" s="82">
        <v>180000</v>
      </c>
      <c r="F94" s="82">
        <v>180000</v>
      </c>
      <c r="G94" s="66"/>
    </row>
    <row r="95" spans="1:7" x14ac:dyDescent="0.2">
      <c r="A95" s="18" t="s">
        <v>545</v>
      </c>
      <c r="B95" s="253" t="s">
        <v>2083</v>
      </c>
      <c r="C95" s="82">
        <v>873099.19</v>
      </c>
      <c r="D95" s="280">
        <v>993697.56</v>
      </c>
      <c r="E95" s="82">
        <v>925000</v>
      </c>
      <c r="F95" s="82">
        <v>925000</v>
      </c>
      <c r="G95" s="66"/>
    </row>
    <row r="96" spans="1:7" x14ac:dyDescent="0.2">
      <c r="A96" s="18" t="s">
        <v>546</v>
      </c>
      <c r="B96" s="253" t="s">
        <v>2084</v>
      </c>
      <c r="C96" s="82">
        <v>51733.4</v>
      </c>
      <c r="D96" s="280">
        <v>55951.4</v>
      </c>
      <c r="E96" s="82">
        <v>60000</v>
      </c>
      <c r="F96" s="82">
        <v>60000</v>
      </c>
      <c r="G96" s="66"/>
    </row>
    <row r="97" spans="1:14" x14ac:dyDescent="0.2">
      <c r="A97" s="18" t="s">
        <v>547</v>
      </c>
      <c r="B97" s="253" t="s">
        <v>2085</v>
      </c>
      <c r="C97" s="82">
        <v>-52.08</v>
      </c>
      <c r="D97" s="280">
        <v>0.33</v>
      </c>
      <c r="E97" s="82">
        <v>75</v>
      </c>
      <c r="F97" s="82">
        <v>75</v>
      </c>
      <c r="G97" s="66"/>
    </row>
    <row r="98" spans="1:14" x14ac:dyDescent="0.2">
      <c r="A98" s="18" t="s">
        <v>548</v>
      </c>
      <c r="B98" s="253" t="s">
        <v>2086</v>
      </c>
      <c r="C98" s="82">
        <v>0</v>
      </c>
      <c r="D98" s="280">
        <v>0</v>
      </c>
      <c r="E98" s="82">
        <v>49000</v>
      </c>
      <c r="F98" s="82">
        <v>49000</v>
      </c>
      <c r="G98" s="66"/>
    </row>
    <row r="99" spans="1:14" x14ac:dyDescent="0.2">
      <c r="A99" s="18" t="s">
        <v>550</v>
      </c>
      <c r="B99" s="253" t="s">
        <v>1998</v>
      </c>
      <c r="C99" s="82">
        <v>22728.87</v>
      </c>
      <c r="D99" s="280">
        <v>19598.72</v>
      </c>
      <c r="E99" s="82">
        <v>22000</v>
      </c>
      <c r="F99" s="82">
        <v>22000</v>
      </c>
      <c r="G99" s="66"/>
    </row>
    <row r="100" spans="1:14" x14ac:dyDescent="0.2">
      <c r="A100" s="18" t="s">
        <v>549</v>
      </c>
      <c r="B100" s="253" t="s">
        <v>2087</v>
      </c>
      <c r="C100" s="82">
        <v>75879.789999999994</v>
      </c>
      <c r="D100" s="280">
        <v>95681.65</v>
      </c>
      <c r="E100" s="82">
        <v>95000</v>
      </c>
      <c r="F100" s="82">
        <v>70000</v>
      </c>
      <c r="G100" s="66"/>
    </row>
    <row r="101" spans="1:14" x14ac:dyDescent="0.2">
      <c r="A101" s="18" t="s">
        <v>551</v>
      </c>
      <c r="B101" s="253" t="s">
        <v>2088</v>
      </c>
      <c r="C101" s="82">
        <v>100626.46</v>
      </c>
      <c r="D101" s="280">
        <v>76922.62</v>
      </c>
      <c r="E101" s="82">
        <v>100000</v>
      </c>
      <c r="F101" s="82">
        <v>100000</v>
      </c>
      <c r="G101" s="66"/>
    </row>
    <row r="102" spans="1:14" x14ac:dyDescent="0.2">
      <c r="A102" s="18" t="s">
        <v>402</v>
      </c>
      <c r="B102" s="253" t="s">
        <v>2020</v>
      </c>
      <c r="C102" s="82">
        <v>31173.82</v>
      </c>
      <c r="D102" s="280">
        <v>33185.72</v>
      </c>
      <c r="E102" s="82">
        <v>40000</v>
      </c>
      <c r="F102" s="82">
        <v>40000</v>
      </c>
      <c r="G102" s="66"/>
    </row>
    <row r="103" spans="1:14" x14ac:dyDescent="0.2">
      <c r="A103" s="18" t="s">
        <v>552</v>
      </c>
      <c r="B103" s="253" t="s">
        <v>2089</v>
      </c>
      <c r="C103" s="34">
        <v>9879.1</v>
      </c>
      <c r="D103" s="280">
        <v>8463.36</v>
      </c>
      <c r="E103" s="82">
        <v>11000</v>
      </c>
      <c r="F103" s="82">
        <v>11000</v>
      </c>
      <c r="G103" s="66"/>
    </row>
    <row r="104" spans="1:14" x14ac:dyDescent="0.2">
      <c r="A104" s="18" t="s">
        <v>553</v>
      </c>
      <c r="B104" s="253" t="s">
        <v>2090</v>
      </c>
      <c r="C104" s="82">
        <v>0</v>
      </c>
      <c r="D104" s="280">
        <v>2652.5</v>
      </c>
      <c r="E104" s="82">
        <v>5000</v>
      </c>
      <c r="F104" s="82">
        <v>5000</v>
      </c>
      <c r="G104" s="66"/>
    </row>
    <row r="105" spans="1:14" x14ac:dyDescent="0.2">
      <c r="A105" s="18" t="s">
        <v>554</v>
      </c>
      <c r="B105" s="253" t="s">
        <v>2091</v>
      </c>
      <c r="C105" s="82">
        <v>21388.959999999999</v>
      </c>
      <c r="D105" s="280">
        <v>26406.04</v>
      </c>
      <c r="E105" s="82">
        <v>25000</v>
      </c>
      <c r="F105" s="82">
        <v>30000</v>
      </c>
      <c r="G105" s="66"/>
    </row>
    <row r="106" spans="1:14" x14ac:dyDescent="0.2">
      <c r="A106" s="18" t="s">
        <v>555</v>
      </c>
      <c r="B106" s="253" t="s">
        <v>2092</v>
      </c>
      <c r="C106" s="82">
        <v>198140.4</v>
      </c>
      <c r="D106" s="280">
        <v>321318.92</v>
      </c>
      <c r="E106" s="82">
        <v>215000</v>
      </c>
      <c r="F106" s="82">
        <v>215000</v>
      </c>
      <c r="G106" s="66"/>
    </row>
    <row r="107" spans="1:14" x14ac:dyDescent="0.2">
      <c r="A107" s="18" t="s">
        <v>556</v>
      </c>
      <c r="B107" s="253" t="s">
        <v>2093</v>
      </c>
      <c r="C107" s="82">
        <v>43566</v>
      </c>
      <c r="D107" s="280">
        <v>74081</v>
      </c>
      <c r="E107" s="82">
        <v>55000</v>
      </c>
      <c r="F107" s="82">
        <v>57000</v>
      </c>
      <c r="G107" s="66"/>
    </row>
    <row r="108" spans="1:14" x14ac:dyDescent="0.2">
      <c r="A108" s="18" t="s">
        <v>558</v>
      </c>
      <c r="B108" s="253" t="s">
        <v>1904</v>
      </c>
      <c r="C108" s="96">
        <v>160697</v>
      </c>
      <c r="D108" s="284">
        <v>357298.07</v>
      </c>
      <c r="E108" s="96">
        <v>170000</v>
      </c>
      <c r="F108" s="96">
        <v>82050</v>
      </c>
      <c r="G108" s="66"/>
    </row>
    <row r="109" spans="1:14" x14ac:dyDescent="0.2">
      <c r="A109" s="18" t="s">
        <v>557</v>
      </c>
      <c r="B109" s="253" t="s">
        <v>2005</v>
      </c>
      <c r="C109" s="82">
        <v>0</v>
      </c>
      <c r="D109" s="280">
        <v>0</v>
      </c>
      <c r="E109" s="82">
        <v>140000</v>
      </c>
      <c r="F109" s="82">
        <v>0</v>
      </c>
      <c r="G109" s="66"/>
    </row>
    <row r="110" spans="1:14" x14ac:dyDescent="0.2">
      <c r="A110" s="129" t="s">
        <v>1667</v>
      </c>
      <c r="B110" s="254" t="s">
        <v>1934</v>
      </c>
      <c r="C110" s="82">
        <v>990</v>
      </c>
      <c r="D110" s="280">
        <v>3299.69</v>
      </c>
      <c r="E110" s="82">
        <v>3300</v>
      </c>
      <c r="F110" s="82">
        <v>3400</v>
      </c>
      <c r="G110" s="66"/>
    </row>
    <row r="111" spans="1:14" x14ac:dyDescent="0.2">
      <c r="A111" s="18" t="s">
        <v>389</v>
      </c>
      <c r="B111" s="253" t="s">
        <v>2094</v>
      </c>
      <c r="C111" s="96">
        <v>2249.75</v>
      </c>
      <c r="D111" s="284">
        <v>13498.5</v>
      </c>
      <c r="E111" s="96">
        <v>15000</v>
      </c>
      <c r="F111" s="96">
        <v>14376</v>
      </c>
      <c r="G111" s="66"/>
    </row>
    <row r="112" spans="1:14" x14ac:dyDescent="0.2">
      <c r="A112" s="18" t="s">
        <v>2321</v>
      </c>
      <c r="B112" s="253" t="s">
        <v>2317</v>
      </c>
      <c r="C112" s="96">
        <v>0</v>
      </c>
      <c r="D112" s="284">
        <v>0</v>
      </c>
      <c r="E112" s="96">
        <v>0</v>
      </c>
      <c r="F112" s="96">
        <v>122836</v>
      </c>
      <c r="G112" s="66"/>
      <c r="L112" s="62"/>
      <c r="M112" s="62"/>
      <c r="N112" s="62"/>
    </row>
    <row r="113" spans="1:8" x14ac:dyDescent="0.2">
      <c r="A113" s="18" t="s">
        <v>1759</v>
      </c>
      <c r="B113" s="253" t="s">
        <v>2095</v>
      </c>
      <c r="C113" s="96">
        <v>489601.57</v>
      </c>
      <c r="D113" s="284">
        <v>155311.82999999999</v>
      </c>
      <c r="E113" s="89">
        <v>156323.13</v>
      </c>
      <c r="F113" s="89">
        <f>+intro!F549</f>
        <v>1226591.71</v>
      </c>
      <c r="G113" s="66"/>
    </row>
    <row r="114" spans="1:8" x14ac:dyDescent="0.2">
      <c r="A114" s="18" t="s">
        <v>1781</v>
      </c>
      <c r="B114" s="253" t="s">
        <v>2096</v>
      </c>
      <c r="C114" s="96">
        <v>10704.89</v>
      </c>
      <c r="D114" s="284">
        <v>48462.26</v>
      </c>
      <c r="E114" s="89">
        <v>52116.479999999996</v>
      </c>
      <c r="F114" s="89">
        <f>+intro!G549</f>
        <v>59423.29</v>
      </c>
      <c r="G114" s="66"/>
      <c r="H114" s="66"/>
    </row>
    <row r="115" spans="1:8" x14ac:dyDescent="0.2">
      <c r="A115" s="18"/>
      <c r="B115" s="6" t="s">
        <v>772</v>
      </c>
      <c r="C115" s="87">
        <f>SUM(C91:C114)</f>
        <v>2593598.83</v>
      </c>
      <c r="D115" s="279">
        <f>SUM(D91:D114)</f>
        <v>2835763.0199999996</v>
      </c>
      <c r="E115" s="87">
        <f>SUM(E91:E114)</f>
        <v>2684814.61</v>
      </c>
      <c r="F115" s="87">
        <f>SUM(F91:F114)</f>
        <v>3641752</v>
      </c>
      <c r="G115" s="66"/>
    </row>
    <row r="116" spans="1:8" x14ac:dyDescent="0.2">
      <c r="A116" s="18"/>
      <c r="B116" s="6" t="s">
        <v>1410</v>
      </c>
      <c r="C116" s="93" t="s">
        <v>1410</v>
      </c>
      <c r="D116" s="285" t="s">
        <v>1410</v>
      </c>
      <c r="E116" s="93" t="s">
        <v>1410</v>
      </c>
      <c r="F116" s="93" t="s">
        <v>1410</v>
      </c>
      <c r="G116" s="66"/>
    </row>
    <row r="117" spans="1:8" ht="13.5" thickBot="1" x14ac:dyDescent="0.25">
      <c r="A117" s="18"/>
      <c r="B117" s="6" t="s">
        <v>1319</v>
      </c>
      <c r="C117" s="71">
        <f>C88+C115+C67</f>
        <v>4958528.2100000009</v>
      </c>
      <c r="D117" s="283">
        <f>D88+D115+D67</f>
        <v>5446512.6799999997</v>
      </c>
      <c r="E117" s="71">
        <f>E88+E115+E67</f>
        <v>5338928.6099999994</v>
      </c>
      <c r="F117" s="71">
        <f>F88+F115+F67</f>
        <v>6309672</v>
      </c>
      <c r="G117" s="66"/>
    </row>
    <row r="118" spans="1:8" ht="13.5" thickTop="1" x14ac:dyDescent="0.2">
      <c r="A118" s="18"/>
      <c r="B118" s="6"/>
      <c r="C118" s="15"/>
      <c r="D118" s="281"/>
      <c r="E118" s="72"/>
      <c r="F118" s="72"/>
      <c r="G118" s="66"/>
    </row>
    <row r="119" spans="1:8" x14ac:dyDescent="0.2">
      <c r="G119" s="66"/>
    </row>
    <row r="120" spans="1:8" x14ac:dyDescent="0.2">
      <c r="A120" s="18"/>
      <c r="B120" s="4" t="s">
        <v>1320</v>
      </c>
      <c r="C120" t="s">
        <v>1410</v>
      </c>
      <c r="D120" s="220" t="s">
        <v>1410</v>
      </c>
      <c r="E120" s="62" t="s">
        <v>1410</v>
      </c>
      <c r="F120" s="62" t="s">
        <v>1410</v>
      </c>
    </row>
    <row r="121" spans="1:8" x14ac:dyDescent="0.2">
      <c r="A121" s="18"/>
      <c r="B121" s="4" t="s">
        <v>967</v>
      </c>
    </row>
    <row r="122" spans="1:8" x14ac:dyDescent="0.2">
      <c r="A122" s="18"/>
      <c r="B122" s="4" t="s">
        <v>1321</v>
      </c>
    </row>
    <row r="123" spans="1:8" x14ac:dyDescent="0.2">
      <c r="A123" s="18"/>
      <c r="C123" s="7" t="str">
        <f>+C5</f>
        <v>2018 ACTUAL</v>
      </c>
      <c r="D123" s="277" t="str">
        <f>+D5</f>
        <v>2019 ACTUAL</v>
      </c>
      <c r="E123" s="7" t="str">
        <f>+E5</f>
        <v>2020 BUDGET</v>
      </c>
      <c r="F123" s="7" t="str">
        <f>+F5</f>
        <v>2021 BUDGET</v>
      </c>
    </row>
    <row r="125" spans="1:8" x14ac:dyDescent="0.2">
      <c r="A125" s="18" t="s">
        <v>1410</v>
      </c>
      <c r="B125" t="s">
        <v>1322</v>
      </c>
      <c r="C125" s="66">
        <v>352026.75999999978</v>
      </c>
      <c r="D125" s="220">
        <f>C133</f>
        <v>793365.89999999944</v>
      </c>
      <c r="E125" s="66">
        <f>D133</f>
        <v>546567.81000000052</v>
      </c>
      <c r="F125" s="66">
        <f>E133</f>
        <v>462895.20000000112</v>
      </c>
    </row>
    <row r="126" spans="1:8" x14ac:dyDescent="0.2">
      <c r="A126" s="18" t="s">
        <v>1410</v>
      </c>
      <c r="C126" s="67"/>
      <c r="E126" s="67"/>
      <c r="F126" s="67"/>
    </row>
    <row r="127" spans="1:8" x14ac:dyDescent="0.2">
      <c r="A127" s="18" t="s">
        <v>1410</v>
      </c>
      <c r="B127" t="s">
        <v>1323</v>
      </c>
      <c r="C127" s="67">
        <f>C51</f>
        <v>5399867.3500000006</v>
      </c>
      <c r="D127" s="220">
        <f>D51</f>
        <v>5199714.5900000008</v>
      </c>
      <c r="E127" s="67">
        <f>E51</f>
        <v>5255256</v>
      </c>
      <c r="F127" s="67">
        <f>F51</f>
        <v>5745697.9461868946</v>
      </c>
    </row>
    <row r="128" spans="1:8" x14ac:dyDescent="0.2">
      <c r="A128" s="18"/>
      <c r="C128" s="67"/>
      <c r="E128" s="67"/>
      <c r="F128" s="67"/>
    </row>
    <row r="129" spans="1:8" x14ac:dyDescent="0.2">
      <c r="A129" s="18"/>
      <c r="B129" t="s">
        <v>1324</v>
      </c>
      <c r="C129" s="81">
        <f>C117</f>
        <v>4958528.2100000009</v>
      </c>
      <c r="D129" s="220">
        <f>D117</f>
        <v>5446512.6799999997</v>
      </c>
      <c r="E129" s="81">
        <f>E117</f>
        <v>5338928.6099999994</v>
      </c>
      <c r="F129" s="81">
        <f>F117</f>
        <v>6309672</v>
      </c>
      <c r="G129" s="50"/>
    </row>
    <row r="130" spans="1:8" x14ac:dyDescent="0.2">
      <c r="A130" s="18"/>
      <c r="C130" s="67"/>
      <c r="E130" s="67"/>
      <c r="F130" s="67"/>
    </row>
    <row r="131" spans="1:8" x14ac:dyDescent="0.2">
      <c r="A131" s="18"/>
      <c r="B131" t="s">
        <v>1325</v>
      </c>
      <c r="C131" s="63">
        <v>0</v>
      </c>
      <c r="D131" s="278">
        <v>0</v>
      </c>
      <c r="E131" s="63">
        <v>0</v>
      </c>
      <c r="F131" s="63">
        <v>0</v>
      </c>
    </row>
    <row r="132" spans="1:8" x14ac:dyDescent="0.2">
      <c r="C132" s="62"/>
    </row>
    <row r="133" spans="1:8" ht="13.5" thickBot="1" x14ac:dyDescent="0.25">
      <c r="A133" s="18"/>
      <c r="B133" t="s">
        <v>1326</v>
      </c>
      <c r="C133" s="71">
        <f>C125+C127-C129+C131</f>
        <v>793365.89999999944</v>
      </c>
      <c r="D133" s="283">
        <f>D125+D127-D129+D131</f>
        <v>546567.81000000052</v>
      </c>
      <c r="E133" s="71">
        <f>E125+E127-E129+E131</f>
        <v>462895.20000000112</v>
      </c>
      <c r="F133" s="71">
        <f>F125+F127-F129+F131</f>
        <v>-101078.85381310433</v>
      </c>
      <c r="G133" s="62"/>
      <c r="H133" s="62"/>
    </row>
    <row r="134" spans="1:8" ht="13.5" thickTop="1" x14ac:dyDescent="0.2">
      <c r="A134" s="18"/>
    </row>
    <row r="135" spans="1:8" x14ac:dyDescent="0.2">
      <c r="C135" s="240"/>
    </row>
    <row r="136" spans="1:8" x14ac:dyDescent="0.2">
      <c r="C136" s="207"/>
    </row>
  </sheetData>
  <phoneticPr fontId="2" type="noConversion"/>
  <pageMargins left="0.5" right="0.5" top="1" bottom="1" header="0.5" footer="0.5"/>
  <pageSetup scale="85" firstPageNumber="21" orientation="portrait" useFirstPageNumber="1" r:id="rId1"/>
  <headerFooter alignWithMargins="0">
    <oddFooter>&amp;C&amp;P</oddFooter>
  </headerFooter>
  <rowBreaks count="2" manualBreakCount="2">
    <brk id="58" max="6" man="1"/>
    <brk id="11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123"/>
  <sheetViews>
    <sheetView zoomScaleNormal="100" workbookViewId="0"/>
  </sheetViews>
  <sheetFormatPr defaultRowHeight="12.75" x14ac:dyDescent="0.2"/>
  <cols>
    <col min="1" max="1" width="14.85546875" bestFit="1" customWidth="1"/>
    <col min="2" max="2" width="38.85546875" customWidth="1"/>
    <col min="3" max="3" width="12.5703125" customWidth="1"/>
    <col min="4" max="5" width="12.7109375" style="62" customWidth="1"/>
    <col min="6" max="6" width="12.85546875" style="62" customWidth="1"/>
  </cols>
  <sheetData>
    <row r="1" spans="1:6" x14ac:dyDescent="0.2">
      <c r="A1" t="s">
        <v>1410</v>
      </c>
      <c r="B1" s="4" t="s">
        <v>638</v>
      </c>
    </row>
    <row r="2" spans="1:6" x14ac:dyDescent="0.2">
      <c r="B2" s="4" t="s">
        <v>357</v>
      </c>
      <c r="C2" s="1" t="s">
        <v>1410</v>
      </c>
      <c r="D2" s="75" t="s">
        <v>1410</v>
      </c>
      <c r="E2" s="75" t="s">
        <v>1410</v>
      </c>
      <c r="F2" s="75" t="s">
        <v>1410</v>
      </c>
    </row>
    <row r="3" spans="1:6" x14ac:dyDescent="0.2">
      <c r="C3" s="1" t="s">
        <v>1410</v>
      </c>
      <c r="D3" s="75" t="s">
        <v>1410</v>
      </c>
      <c r="E3" s="75" t="s">
        <v>1410</v>
      </c>
      <c r="F3" s="75" t="s">
        <v>1410</v>
      </c>
    </row>
    <row r="4" spans="1:6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6" x14ac:dyDescent="0.2">
      <c r="B5" s="4" t="s">
        <v>299</v>
      </c>
    </row>
    <row r="6" spans="1:6" x14ac:dyDescent="0.2">
      <c r="A6" t="s">
        <v>1501</v>
      </c>
      <c r="B6" s="254" t="s">
        <v>1746</v>
      </c>
      <c r="C6" s="66">
        <v>1047.74</v>
      </c>
      <c r="D6" s="66">
        <v>842.99</v>
      </c>
      <c r="E6" s="66">
        <v>1000</v>
      </c>
      <c r="F6" s="66">
        <v>1000</v>
      </c>
    </row>
    <row r="7" spans="1:6" x14ac:dyDescent="0.2">
      <c r="A7" t="s">
        <v>1453</v>
      </c>
      <c r="B7" s="253" t="s">
        <v>2101</v>
      </c>
      <c r="C7" s="63">
        <v>15747.44</v>
      </c>
      <c r="D7" s="63">
        <v>595767.52</v>
      </c>
      <c r="E7" s="63">
        <v>150000</v>
      </c>
      <c r="F7" s="63">
        <v>100000</v>
      </c>
    </row>
    <row r="8" spans="1:6" ht="13.5" thickBot="1" x14ac:dyDescent="0.25">
      <c r="A8" t="s">
        <v>1410</v>
      </c>
      <c r="B8" s="6" t="s">
        <v>129</v>
      </c>
      <c r="C8" s="71">
        <f>SUM(C6:C7)</f>
        <v>16795.18</v>
      </c>
      <c r="D8" s="71">
        <f>SUM(D6:D7)</f>
        <v>596610.51</v>
      </c>
      <c r="E8" s="71">
        <f>SUM(E6:E7)</f>
        <v>151000</v>
      </c>
      <c r="F8" s="71">
        <f>SUM(F6:F7)</f>
        <v>101000</v>
      </c>
    </row>
    <row r="9" spans="1:6" ht="13.5" thickTop="1" x14ac:dyDescent="0.2">
      <c r="C9" s="62"/>
    </row>
    <row r="10" spans="1:6" x14ac:dyDescent="0.2">
      <c r="A10" t="s">
        <v>1410</v>
      </c>
      <c r="C10" s="62"/>
    </row>
    <row r="11" spans="1:6" x14ac:dyDescent="0.2">
      <c r="B11" s="4" t="s">
        <v>844</v>
      </c>
      <c r="C11" s="62"/>
    </row>
    <row r="12" spans="1:6" x14ac:dyDescent="0.2">
      <c r="A12" t="s">
        <v>356</v>
      </c>
      <c r="B12" s="253" t="s">
        <v>2102</v>
      </c>
      <c r="C12" s="73">
        <v>75856.33</v>
      </c>
      <c r="D12" s="73">
        <v>201332.83</v>
      </c>
      <c r="E12" s="73">
        <v>150000</v>
      </c>
      <c r="F12" s="73">
        <v>250000</v>
      </c>
    </row>
    <row r="13" spans="1:6" ht="13.5" thickBot="1" x14ac:dyDescent="0.25">
      <c r="B13" s="6" t="s">
        <v>1319</v>
      </c>
      <c r="C13" s="71">
        <f>SUM(C12)</f>
        <v>75856.33</v>
      </c>
      <c r="D13" s="71">
        <f>SUM(D12)</f>
        <v>201332.83</v>
      </c>
      <c r="E13" s="71">
        <f>SUM(E12)</f>
        <v>150000</v>
      </c>
      <c r="F13" s="71">
        <f>SUM(F12)</f>
        <v>250000</v>
      </c>
    </row>
    <row r="14" spans="1:6" ht="13.5" thickTop="1" x14ac:dyDescent="0.2">
      <c r="B14" s="6"/>
      <c r="C14" s="15"/>
      <c r="D14" s="72"/>
      <c r="E14" s="72"/>
      <c r="F14" s="72"/>
    </row>
    <row r="15" spans="1:6" x14ac:dyDescent="0.2">
      <c r="B15" s="6"/>
      <c r="C15" s="15"/>
      <c r="D15" s="72"/>
      <c r="E15" s="72"/>
      <c r="F15" s="72"/>
    </row>
    <row r="16" spans="1:6" x14ac:dyDescent="0.2">
      <c r="B16" s="4" t="s">
        <v>638</v>
      </c>
      <c r="C16" s="1" t="s">
        <v>1410</v>
      </c>
      <c r="D16" s="75" t="s">
        <v>1410</v>
      </c>
      <c r="E16" s="75" t="s">
        <v>1410</v>
      </c>
      <c r="F16" s="75" t="s">
        <v>1410</v>
      </c>
    </row>
    <row r="17" spans="1:6" x14ac:dyDescent="0.2">
      <c r="B17" s="4" t="s">
        <v>357</v>
      </c>
      <c r="C17" s="1" t="s">
        <v>1410</v>
      </c>
      <c r="D17" s="75" t="s">
        <v>1410</v>
      </c>
      <c r="E17" s="75" t="s">
        <v>1410</v>
      </c>
      <c r="F17" s="75" t="s">
        <v>1410</v>
      </c>
    </row>
    <row r="18" spans="1:6" x14ac:dyDescent="0.2">
      <c r="B18" s="4" t="s">
        <v>1321</v>
      </c>
      <c r="C18" s="1" t="s">
        <v>1410</v>
      </c>
      <c r="D18" s="75" t="s">
        <v>1410</v>
      </c>
      <c r="E18" s="75" t="s">
        <v>1410</v>
      </c>
      <c r="F18" s="75" t="s">
        <v>1410</v>
      </c>
    </row>
    <row r="19" spans="1:6" x14ac:dyDescent="0.2">
      <c r="C19" s="7" t="str">
        <f>+C4</f>
        <v>2018 ACTUAL</v>
      </c>
      <c r="D19" s="7" t="str">
        <f>+D4</f>
        <v>2019 ACTUAL</v>
      </c>
      <c r="E19" s="7" t="str">
        <f>+E4</f>
        <v>2020 BUDGET</v>
      </c>
      <c r="F19" s="7" t="str">
        <f>+F4</f>
        <v>2021 BUDGET</v>
      </c>
    </row>
    <row r="20" spans="1:6" x14ac:dyDescent="0.2">
      <c r="A20" t="s">
        <v>1410</v>
      </c>
      <c r="C20" s="1"/>
      <c r="D20" s="75"/>
      <c r="E20" s="75"/>
      <c r="F20" s="75"/>
    </row>
    <row r="21" spans="1:6" x14ac:dyDescent="0.2">
      <c r="B21" t="s">
        <v>1322</v>
      </c>
      <c r="C21" s="66">
        <v>295358.93000000005</v>
      </c>
      <c r="D21" s="66">
        <f>C29</f>
        <v>236297.78000000003</v>
      </c>
      <c r="E21" s="66">
        <f>D29</f>
        <v>631575.46000000008</v>
      </c>
      <c r="F21" s="66">
        <f>E29</f>
        <v>632575.46000000008</v>
      </c>
    </row>
    <row r="22" spans="1:6" x14ac:dyDescent="0.2">
      <c r="A22" t="s">
        <v>1410</v>
      </c>
      <c r="C22" s="62"/>
    </row>
    <row r="23" spans="1:6" x14ac:dyDescent="0.2">
      <c r="B23" t="s">
        <v>106</v>
      </c>
      <c r="C23" s="67">
        <f>C8</f>
        <v>16795.18</v>
      </c>
      <c r="D23" s="67">
        <f>D8</f>
        <v>596610.51</v>
      </c>
      <c r="E23" s="67">
        <f>E8</f>
        <v>151000</v>
      </c>
      <c r="F23" s="67">
        <f>F8</f>
        <v>101000</v>
      </c>
    </row>
    <row r="24" spans="1:6" x14ac:dyDescent="0.2">
      <c r="C24" s="67"/>
      <c r="D24" s="67"/>
      <c r="E24" s="67"/>
      <c r="F24" s="67"/>
    </row>
    <row r="25" spans="1:6" x14ac:dyDescent="0.2">
      <c r="B25" t="s">
        <v>1404</v>
      </c>
      <c r="C25" s="67">
        <f>C13</f>
        <v>75856.33</v>
      </c>
      <c r="D25" s="67">
        <f>D13</f>
        <v>201332.83</v>
      </c>
      <c r="E25" s="67">
        <f>E13</f>
        <v>150000</v>
      </c>
      <c r="F25" s="67">
        <f>F13</f>
        <v>250000</v>
      </c>
    </row>
    <row r="26" spans="1:6" x14ac:dyDescent="0.2">
      <c r="C26" s="67"/>
      <c r="D26" s="67"/>
      <c r="E26" s="67"/>
      <c r="F26" s="67"/>
    </row>
    <row r="27" spans="1:6" x14ac:dyDescent="0.2">
      <c r="B27" t="s">
        <v>1325</v>
      </c>
      <c r="C27" s="63">
        <v>0</v>
      </c>
      <c r="D27" s="63">
        <v>0</v>
      </c>
      <c r="E27" s="63">
        <v>0</v>
      </c>
      <c r="F27" s="63">
        <v>0</v>
      </c>
    </row>
    <row r="28" spans="1:6" x14ac:dyDescent="0.2">
      <c r="C28" s="62"/>
    </row>
    <row r="29" spans="1:6" ht="13.5" thickBot="1" x14ac:dyDescent="0.25">
      <c r="B29" t="s">
        <v>1326</v>
      </c>
      <c r="C29" s="71">
        <f>C21+C23-C25+C27</f>
        <v>236297.78000000003</v>
      </c>
      <c r="D29" s="71">
        <f>D21+D23-D25+D27</f>
        <v>631575.46000000008</v>
      </c>
      <c r="E29" s="71">
        <f>E21+E23-E25+E27</f>
        <v>632575.46000000008</v>
      </c>
      <c r="F29" s="71">
        <f>F21+F23-F25+F27</f>
        <v>483575.46000000008</v>
      </c>
    </row>
    <row r="30" spans="1:6" ht="13.5" thickTop="1" x14ac:dyDescent="0.2"/>
    <row r="31" spans="1:6" x14ac:dyDescent="0.2">
      <c r="C31" s="10"/>
      <c r="D31" s="67"/>
    </row>
    <row r="33" spans="3:3" x14ac:dyDescent="0.2">
      <c r="C33" s="10"/>
    </row>
    <row r="123" spans="3:6" x14ac:dyDescent="0.2">
      <c r="C123" s="9"/>
      <c r="D123" s="81"/>
      <c r="E123" s="81"/>
      <c r="F123" s="81"/>
    </row>
  </sheetData>
  <phoneticPr fontId="2" type="noConversion"/>
  <pageMargins left="0.5" right="0.5" top="1" bottom="1" header="0.5" footer="0.5"/>
  <pageSetup scale="85" firstPageNumber="24" orientation="portrait" useFirstPageNumber="1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124"/>
  <sheetViews>
    <sheetView zoomScaleNormal="100" workbookViewId="0"/>
  </sheetViews>
  <sheetFormatPr defaultRowHeight="12.75" x14ac:dyDescent="0.2"/>
  <cols>
    <col min="1" max="1" width="14.85546875" bestFit="1" customWidth="1"/>
    <col min="2" max="2" width="39.85546875" customWidth="1"/>
    <col min="3" max="3" width="13.140625" bestFit="1" customWidth="1"/>
    <col min="4" max="6" width="13.28515625" style="62" bestFit="1" customWidth="1"/>
  </cols>
  <sheetData>
    <row r="1" spans="1:10" x14ac:dyDescent="0.2">
      <c r="A1" t="s">
        <v>1410</v>
      </c>
      <c r="B1" s="4" t="s">
        <v>638</v>
      </c>
    </row>
    <row r="2" spans="1:10" x14ac:dyDescent="0.2">
      <c r="B2" s="4" t="s">
        <v>1586</v>
      </c>
      <c r="C2" s="1" t="s">
        <v>1410</v>
      </c>
      <c r="D2" s="75" t="s">
        <v>1410</v>
      </c>
      <c r="E2" s="75" t="s">
        <v>1410</v>
      </c>
      <c r="F2" s="75" t="s">
        <v>1410</v>
      </c>
    </row>
    <row r="3" spans="1:10" x14ac:dyDescent="0.2">
      <c r="C3" s="1" t="s">
        <v>1410</v>
      </c>
      <c r="D3" s="75" t="s">
        <v>1410</v>
      </c>
      <c r="E3" s="75" t="s">
        <v>1410</v>
      </c>
      <c r="F3" s="75" t="s">
        <v>1410</v>
      </c>
    </row>
    <row r="4" spans="1:10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10" x14ac:dyDescent="0.2">
      <c r="B5" s="4" t="s">
        <v>299</v>
      </c>
    </row>
    <row r="6" spans="1:10" x14ac:dyDescent="0.2">
      <c r="A6" s="5" t="s">
        <v>1587</v>
      </c>
      <c r="B6" s="253" t="s">
        <v>1746</v>
      </c>
      <c r="C6" s="8">
        <v>0</v>
      </c>
      <c r="D6" s="66">
        <v>1062.18</v>
      </c>
      <c r="E6" s="66">
        <v>50</v>
      </c>
      <c r="F6" s="66">
        <v>50</v>
      </c>
    </row>
    <row r="7" spans="1:10" x14ac:dyDescent="0.2">
      <c r="A7" s="5" t="s">
        <v>1588</v>
      </c>
      <c r="B7" s="254" t="s">
        <v>2103</v>
      </c>
      <c r="C7" s="12">
        <v>4308.9399999999996</v>
      </c>
      <c r="D7" s="63">
        <v>3388.92</v>
      </c>
      <c r="E7" s="63">
        <v>4000</v>
      </c>
      <c r="F7" s="63">
        <v>3000</v>
      </c>
    </row>
    <row r="8" spans="1:10" ht="13.5" thickBot="1" x14ac:dyDescent="0.25">
      <c r="A8" t="s">
        <v>1410</v>
      </c>
      <c r="B8" s="6" t="s">
        <v>129</v>
      </c>
      <c r="C8" s="17">
        <f>SUM(C6:C7)</f>
        <v>4308.9399999999996</v>
      </c>
      <c r="D8" s="71">
        <f>SUM(D6:D7)</f>
        <v>4451.1000000000004</v>
      </c>
      <c r="E8" s="71">
        <f>SUM(E6:E7)</f>
        <v>4050</v>
      </c>
      <c r="F8" s="71">
        <f>SUM(F6:F7)</f>
        <v>3050</v>
      </c>
    </row>
    <row r="9" spans="1:10" ht="13.5" thickTop="1" x14ac:dyDescent="0.2"/>
    <row r="10" spans="1:10" x14ac:dyDescent="0.2">
      <c r="A10" t="s">
        <v>1410</v>
      </c>
    </row>
    <row r="11" spans="1:10" x14ac:dyDescent="0.2">
      <c r="B11" s="4" t="s">
        <v>844</v>
      </c>
    </row>
    <row r="12" spans="1:10" x14ac:dyDescent="0.2">
      <c r="A12" s="5" t="s">
        <v>1672</v>
      </c>
      <c r="B12" s="254" t="s">
        <v>2104</v>
      </c>
      <c r="C12" s="15">
        <v>0</v>
      </c>
      <c r="D12" s="72">
        <v>0</v>
      </c>
      <c r="E12" s="72">
        <v>100000</v>
      </c>
      <c r="F12" s="72">
        <v>100000</v>
      </c>
    </row>
    <row r="13" spans="1:10" x14ac:dyDescent="0.2">
      <c r="A13" s="5" t="s">
        <v>1673</v>
      </c>
      <c r="B13" s="254" t="s">
        <v>2105</v>
      </c>
      <c r="C13" s="12">
        <v>0</v>
      </c>
      <c r="D13" s="63">
        <v>0</v>
      </c>
      <c r="E13" s="63">
        <v>0</v>
      </c>
      <c r="F13" s="63">
        <v>0</v>
      </c>
    </row>
    <row r="14" spans="1:10" ht="13.5" thickBot="1" x14ac:dyDescent="0.25">
      <c r="B14" s="6" t="s">
        <v>1319</v>
      </c>
      <c r="C14" s="17">
        <f>SUM(C12:C13)</f>
        <v>0</v>
      </c>
      <c r="D14" s="17">
        <f>SUM(D12:D13)</f>
        <v>0</v>
      </c>
      <c r="E14" s="17">
        <f>SUM(E12:E13)</f>
        <v>100000</v>
      </c>
      <c r="F14" s="17">
        <f>SUM(F12:F13)</f>
        <v>100000</v>
      </c>
      <c r="G14" s="223"/>
      <c r="H14" s="62"/>
      <c r="I14" s="62"/>
      <c r="J14" s="62"/>
    </row>
    <row r="15" spans="1:10" ht="13.5" thickTop="1" x14ac:dyDescent="0.2">
      <c r="B15" s="6"/>
      <c r="C15" s="15"/>
      <c r="D15" s="72"/>
      <c r="E15" s="72"/>
      <c r="F15" s="72"/>
    </row>
    <row r="16" spans="1:10" x14ac:dyDescent="0.2">
      <c r="B16" s="6"/>
      <c r="C16" s="15"/>
      <c r="D16" s="72"/>
      <c r="E16" s="72"/>
      <c r="F16" s="72"/>
    </row>
    <row r="17" spans="1:6" x14ac:dyDescent="0.2">
      <c r="B17" s="4" t="s">
        <v>638</v>
      </c>
      <c r="C17" s="1" t="s">
        <v>1410</v>
      </c>
      <c r="D17" s="75" t="s">
        <v>1410</v>
      </c>
      <c r="E17" s="75" t="s">
        <v>1410</v>
      </c>
      <c r="F17" s="75" t="s">
        <v>1410</v>
      </c>
    </row>
    <row r="18" spans="1:6" x14ac:dyDescent="0.2">
      <c r="B18" s="4" t="s">
        <v>1586</v>
      </c>
      <c r="C18" s="1" t="s">
        <v>1410</v>
      </c>
      <c r="D18" s="75" t="s">
        <v>1410</v>
      </c>
      <c r="E18" s="75" t="s">
        <v>1410</v>
      </c>
      <c r="F18" s="75" t="s">
        <v>1410</v>
      </c>
    </row>
    <row r="19" spans="1:6" x14ac:dyDescent="0.2">
      <c r="B19" s="4" t="s">
        <v>1321</v>
      </c>
      <c r="C19" s="1" t="s">
        <v>1410</v>
      </c>
      <c r="D19" s="75" t="s">
        <v>1410</v>
      </c>
      <c r="E19" s="75" t="s">
        <v>1410</v>
      </c>
      <c r="F19" s="75" t="s">
        <v>1410</v>
      </c>
    </row>
    <row r="20" spans="1:6" x14ac:dyDescent="0.2">
      <c r="C20" s="7" t="str">
        <f>+C4</f>
        <v>2018 ACTUAL</v>
      </c>
      <c r="D20" s="7" t="str">
        <f>+D4</f>
        <v>2019 ACTUAL</v>
      </c>
      <c r="E20" s="7" t="str">
        <f>+E4</f>
        <v>2020 BUDGET</v>
      </c>
      <c r="F20" s="7" t="str">
        <f>+F4</f>
        <v>2021 BUDGET</v>
      </c>
    </row>
    <row r="21" spans="1:6" x14ac:dyDescent="0.2">
      <c r="A21" t="s">
        <v>1410</v>
      </c>
      <c r="C21" s="1"/>
      <c r="D21" s="75"/>
      <c r="E21" s="75"/>
      <c r="F21" s="75"/>
    </row>
    <row r="22" spans="1:6" x14ac:dyDescent="0.2">
      <c r="B22" t="s">
        <v>1322</v>
      </c>
      <c r="C22" s="8">
        <v>105532.58</v>
      </c>
      <c r="D22" s="66">
        <f>C30</f>
        <v>109841.52</v>
      </c>
      <c r="E22" s="66">
        <f>D30</f>
        <v>114292.62000000001</v>
      </c>
      <c r="F22" s="66">
        <f>E30</f>
        <v>18342.62000000001</v>
      </c>
    </row>
    <row r="23" spans="1:6" x14ac:dyDescent="0.2">
      <c r="A23" t="s">
        <v>1410</v>
      </c>
    </row>
    <row r="24" spans="1:6" x14ac:dyDescent="0.2">
      <c r="B24" t="s">
        <v>106</v>
      </c>
      <c r="C24" s="10">
        <f>C8</f>
        <v>4308.9399999999996</v>
      </c>
      <c r="D24" s="67">
        <f>D8</f>
        <v>4451.1000000000004</v>
      </c>
      <c r="E24" s="67">
        <f>E8</f>
        <v>4050</v>
      </c>
      <c r="F24" s="67">
        <f>F8</f>
        <v>3050</v>
      </c>
    </row>
    <row r="25" spans="1:6" x14ac:dyDescent="0.2">
      <c r="C25" s="10"/>
      <c r="D25" s="67"/>
      <c r="E25" s="67"/>
      <c r="F25" s="67"/>
    </row>
    <row r="26" spans="1:6" x14ac:dyDescent="0.2">
      <c r="B26" t="s">
        <v>1404</v>
      </c>
      <c r="C26" s="10">
        <f>C14</f>
        <v>0</v>
      </c>
      <c r="D26" s="67">
        <f>D14</f>
        <v>0</v>
      </c>
      <c r="E26" s="67">
        <f>E14</f>
        <v>100000</v>
      </c>
      <c r="F26" s="67">
        <f>F14</f>
        <v>100000</v>
      </c>
    </row>
    <row r="27" spans="1:6" x14ac:dyDescent="0.2">
      <c r="C27" s="10"/>
      <c r="D27" s="67"/>
      <c r="E27" s="67"/>
      <c r="F27" s="67"/>
    </row>
    <row r="28" spans="1:6" x14ac:dyDescent="0.2">
      <c r="B28" t="s">
        <v>1325</v>
      </c>
      <c r="C28" s="12">
        <v>0</v>
      </c>
      <c r="D28" s="63">
        <v>0</v>
      </c>
      <c r="E28" s="63">
        <v>0</v>
      </c>
      <c r="F28" s="63">
        <v>0</v>
      </c>
    </row>
    <row r="30" spans="1:6" ht="13.5" thickBot="1" x14ac:dyDescent="0.25">
      <c r="B30" t="s">
        <v>1326</v>
      </c>
      <c r="C30" s="17">
        <f>C22+C24-C26+C28</f>
        <v>109841.52</v>
      </c>
      <c r="D30" s="71">
        <f>D22+D24-D26+D28</f>
        <v>114292.62000000001</v>
      </c>
      <c r="E30" s="71">
        <f>E22+E24-E26+E28</f>
        <v>18342.62000000001</v>
      </c>
      <c r="F30" s="71">
        <f>F22+F24-F26+F28</f>
        <v>-78607.37999999999</v>
      </c>
    </row>
    <row r="31" spans="1:6" ht="13.5" thickTop="1" x14ac:dyDescent="0.2"/>
    <row r="124" spans="3:6" x14ac:dyDescent="0.2">
      <c r="C124" s="9"/>
      <c r="D124" s="81"/>
      <c r="E124" s="81"/>
      <c r="F124" s="81"/>
    </row>
  </sheetData>
  <pageMargins left="0.5" right="0.5" top="1" bottom="1" header="0.5" footer="0.5"/>
  <pageSetup scale="85" firstPageNumber="25" orientation="portrait" useFirstPageNumber="1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6"/>
  <sheetViews>
    <sheetView zoomScaleNormal="100" workbookViewId="0"/>
  </sheetViews>
  <sheetFormatPr defaultRowHeight="12.75" x14ac:dyDescent="0.2"/>
  <cols>
    <col min="1" max="1" width="14.85546875" bestFit="1" customWidth="1"/>
    <col min="2" max="2" width="39.140625" customWidth="1"/>
    <col min="3" max="3" width="13.140625" bestFit="1" customWidth="1"/>
    <col min="4" max="6" width="13.28515625" style="62" bestFit="1" customWidth="1"/>
  </cols>
  <sheetData>
    <row r="1" spans="1:8" x14ac:dyDescent="0.2">
      <c r="A1" t="s">
        <v>1410</v>
      </c>
      <c r="B1" s="4" t="s">
        <v>638</v>
      </c>
    </row>
    <row r="2" spans="1:8" x14ac:dyDescent="0.2">
      <c r="B2" s="4" t="s">
        <v>973</v>
      </c>
      <c r="C2" s="1" t="s">
        <v>1410</v>
      </c>
      <c r="D2" s="75" t="s">
        <v>1410</v>
      </c>
      <c r="E2" s="75" t="s">
        <v>1410</v>
      </c>
      <c r="F2" s="75" t="s">
        <v>1410</v>
      </c>
    </row>
    <row r="3" spans="1:8" x14ac:dyDescent="0.2">
      <c r="C3" s="1" t="s">
        <v>1410</v>
      </c>
      <c r="D3" s="75" t="s">
        <v>1410</v>
      </c>
      <c r="E3" s="75" t="s">
        <v>1410</v>
      </c>
      <c r="F3" s="75" t="s">
        <v>1410</v>
      </c>
    </row>
    <row r="4" spans="1:8" x14ac:dyDescent="0.2">
      <c r="C4" s="7" t="str">
        <f>+'100-Genl'!C4</f>
        <v>2018 ACTUAL</v>
      </c>
      <c r="D4" s="7" t="str">
        <f>+'100-Genl'!D4</f>
        <v>2019 ACTUAL</v>
      </c>
      <c r="E4" s="7" t="str">
        <f>+'100-Genl'!E4</f>
        <v>2020 BUDGET</v>
      </c>
      <c r="F4" s="7" t="str">
        <f>+'100-Genl'!F4</f>
        <v>2021 BUDGET</v>
      </c>
    </row>
    <row r="5" spans="1:8" x14ac:dyDescent="0.2">
      <c r="B5" s="4" t="s">
        <v>299</v>
      </c>
    </row>
    <row r="6" spans="1:8" x14ac:dyDescent="0.2">
      <c r="A6" t="s">
        <v>1454</v>
      </c>
      <c r="B6" s="253" t="s">
        <v>1746</v>
      </c>
      <c r="C6" s="8">
        <v>6.72</v>
      </c>
      <c r="D6" s="66">
        <v>9.93</v>
      </c>
      <c r="E6" s="66">
        <v>12</v>
      </c>
      <c r="F6" s="66">
        <v>12</v>
      </c>
    </row>
    <row r="7" spans="1:8" x14ac:dyDescent="0.2">
      <c r="A7" t="s">
        <v>1723</v>
      </c>
      <c r="B7" s="253" t="s">
        <v>1842</v>
      </c>
      <c r="C7" s="16">
        <v>0</v>
      </c>
      <c r="D7" s="54">
        <v>0</v>
      </c>
      <c r="E7" s="54">
        <v>0</v>
      </c>
      <c r="F7" s="54">
        <v>0</v>
      </c>
    </row>
    <row r="8" spans="1:8" x14ac:dyDescent="0.2">
      <c r="A8" t="s">
        <v>390</v>
      </c>
      <c r="B8" s="253" t="s">
        <v>1885</v>
      </c>
      <c r="C8" s="16">
        <v>0</v>
      </c>
      <c r="D8" s="54">
        <v>0</v>
      </c>
      <c r="E8" s="54">
        <v>0</v>
      </c>
      <c r="F8" s="54">
        <v>0</v>
      </c>
    </row>
    <row r="9" spans="1:8" x14ac:dyDescent="0.2">
      <c r="A9" t="s">
        <v>391</v>
      </c>
      <c r="B9" s="253" t="s">
        <v>1882</v>
      </c>
      <c r="C9" s="16">
        <v>0</v>
      </c>
      <c r="D9" s="54">
        <v>0</v>
      </c>
      <c r="E9" s="54">
        <v>0</v>
      </c>
      <c r="F9" s="54">
        <v>0</v>
      </c>
    </row>
    <row r="10" spans="1:8" x14ac:dyDescent="0.2">
      <c r="A10" t="s">
        <v>2098</v>
      </c>
      <c r="B10" s="253" t="s">
        <v>1886</v>
      </c>
      <c r="C10" s="16"/>
      <c r="D10" s="54">
        <v>11412.71</v>
      </c>
      <c r="E10" s="54"/>
      <c r="F10" s="54"/>
    </row>
    <row r="11" spans="1:8" ht="13.5" thickBot="1" x14ac:dyDescent="0.25">
      <c r="A11" t="s">
        <v>1410</v>
      </c>
      <c r="B11" s="6" t="s">
        <v>129</v>
      </c>
      <c r="C11" s="14">
        <f>SUM(C6:C10)</f>
        <v>6.72</v>
      </c>
      <c r="D11" s="14">
        <f>SUM(D6:D10)</f>
        <v>11422.64</v>
      </c>
      <c r="E11" s="14">
        <f>SUM(E6:E10)</f>
        <v>12</v>
      </c>
      <c r="F11" s="14">
        <f>SUM(F6:F10)</f>
        <v>12</v>
      </c>
    </row>
    <row r="12" spans="1:8" ht="13.5" thickTop="1" x14ac:dyDescent="0.2"/>
    <row r="13" spans="1:8" x14ac:dyDescent="0.2">
      <c r="A13" t="s">
        <v>1410</v>
      </c>
    </row>
    <row r="14" spans="1:8" x14ac:dyDescent="0.2">
      <c r="B14" s="4" t="s">
        <v>844</v>
      </c>
    </row>
    <row r="15" spans="1:8" x14ac:dyDescent="0.2">
      <c r="A15" t="s">
        <v>559</v>
      </c>
      <c r="B15" s="253" t="s">
        <v>2106</v>
      </c>
      <c r="C15" s="23">
        <v>0</v>
      </c>
      <c r="D15" s="73">
        <v>11412.17</v>
      </c>
      <c r="E15" s="73">
        <v>1000</v>
      </c>
      <c r="F15" s="73">
        <v>1000</v>
      </c>
      <c r="G15" s="223"/>
      <c r="H15" s="62"/>
    </row>
    <row r="16" spans="1:8" ht="13.5" thickBot="1" x14ac:dyDescent="0.25">
      <c r="B16" s="6" t="s">
        <v>1319</v>
      </c>
      <c r="C16" s="17">
        <f>SUM(C15)</f>
        <v>0</v>
      </c>
      <c r="D16" s="71">
        <f>SUM(D15)</f>
        <v>11412.17</v>
      </c>
      <c r="E16" s="71">
        <f>SUM(E15)</f>
        <v>1000</v>
      </c>
      <c r="F16" s="71">
        <f>SUM(F15)</f>
        <v>1000</v>
      </c>
      <c r="G16" s="62"/>
      <c r="H16" s="62"/>
    </row>
    <row r="17" spans="1:6" ht="13.5" thickTop="1" x14ac:dyDescent="0.2">
      <c r="B17" s="6"/>
      <c r="C17" s="15"/>
      <c r="D17" s="72"/>
      <c r="E17" s="72"/>
      <c r="F17" s="72"/>
    </row>
    <row r="18" spans="1:6" x14ac:dyDescent="0.2">
      <c r="B18" s="6"/>
      <c r="C18" s="15"/>
      <c r="D18" s="72"/>
      <c r="E18" s="72"/>
      <c r="F18" s="72"/>
    </row>
    <row r="19" spans="1:6" x14ac:dyDescent="0.2">
      <c r="B19" s="4" t="s">
        <v>638</v>
      </c>
      <c r="C19" s="1" t="s">
        <v>1410</v>
      </c>
      <c r="D19" s="75" t="s">
        <v>1410</v>
      </c>
      <c r="E19" s="75" t="s">
        <v>1410</v>
      </c>
      <c r="F19" s="75" t="s">
        <v>1410</v>
      </c>
    </row>
    <row r="20" spans="1:6" x14ac:dyDescent="0.2">
      <c r="B20" s="4" t="s">
        <v>973</v>
      </c>
      <c r="C20" s="1" t="s">
        <v>1410</v>
      </c>
      <c r="D20" s="75" t="s">
        <v>1410</v>
      </c>
      <c r="E20" s="75" t="s">
        <v>1410</v>
      </c>
      <c r="F20" s="75" t="s">
        <v>1410</v>
      </c>
    </row>
    <row r="21" spans="1:6" x14ac:dyDescent="0.2">
      <c r="B21" s="4" t="s">
        <v>1321</v>
      </c>
      <c r="C21" s="1" t="s">
        <v>1410</v>
      </c>
      <c r="D21" s="75" t="s">
        <v>1410</v>
      </c>
      <c r="E21" s="75" t="s">
        <v>1410</v>
      </c>
      <c r="F21" s="75" t="s">
        <v>1410</v>
      </c>
    </row>
    <row r="22" spans="1:6" x14ac:dyDescent="0.2">
      <c r="C22" s="7" t="str">
        <f>+C4</f>
        <v>2018 ACTUAL</v>
      </c>
      <c r="D22" s="7" t="str">
        <f>+D4</f>
        <v>2019 ACTUAL</v>
      </c>
      <c r="E22" s="7" t="str">
        <f>+E4</f>
        <v>2020 BUDGET</v>
      </c>
      <c r="F22" s="7" t="str">
        <f>+F4</f>
        <v>2021 BUDGET</v>
      </c>
    </row>
    <row r="23" spans="1:6" x14ac:dyDescent="0.2">
      <c r="A23" t="s">
        <v>1410</v>
      </c>
      <c r="C23" s="1"/>
      <c r="D23" s="75"/>
      <c r="E23" s="75"/>
      <c r="F23" s="75"/>
    </row>
    <row r="24" spans="1:6" x14ac:dyDescent="0.2">
      <c r="B24" t="s">
        <v>1322</v>
      </c>
      <c r="C24" s="8">
        <v>5714.39</v>
      </c>
      <c r="D24" s="66">
        <f>C32</f>
        <v>5721.1100000000006</v>
      </c>
      <c r="E24" s="66">
        <f>D32</f>
        <v>5731.58</v>
      </c>
      <c r="F24" s="66">
        <f>E32</f>
        <v>4743.58</v>
      </c>
    </row>
    <row r="25" spans="1:6" x14ac:dyDescent="0.2">
      <c r="A25" t="s">
        <v>1410</v>
      </c>
    </row>
    <row r="26" spans="1:6" x14ac:dyDescent="0.2">
      <c r="B26" t="s">
        <v>106</v>
      </c>
      <c r="C26" s="10">
        <f>C11</f>
        <v>6.72</v>
      </c>
      <c r="D26" s="67">
        <f>D11</f>
        <v>11422.64</v>
      </c>
      <c r="E26" s="67">
        <f>E11</f>
        <v>12</v>
      </c>
      <c r="F26" s="67">
        <f>F11</f>
        <v>12</v>
      </c>
    </row>
    <row r="27" spans="1:6" x14ac:dyDescent="0.2">
      <c r="C27" s="10"/>
      <c r="D27" s="67"/>
      <c r="E27" s="67"/>
      <c r="F27" s="67"/>
    </row>
    <row r="28" spans="1:6" x14ac:dyDescent="0.2">
      <c r="B28" t="s">
        <v>1404</v>
      </c>
      <c r="C28" s="10">
        <f>C16</f>
        <v>0</v>
      </c>
      <c r="D28" s="67">
        <f>D16</f>
        <v>11412.17</v>
      </c>
      <c r="E28" s="67">
        <f>E16</f>
        <v>1000</v>
      </c>
      <c r="F28" s="67">
        <f>F16</f>
        <v>1000</v>
      </c>
    </row>
    <row r="29" spans="1:6" x14ac:dyDescent="0.2">
      <c r="C29" s="10"/>
      <c r="D29" s="67"/>
      <c r="E29" s="67"/>
      <c r="F29" s="67"/>
    </row>
    <row r="30" spans="1:6" x14ac:dyDescent="0.2">
      <c r="B30" t="s">
        <v>1325</v>
      </c>
      <c r="C30" s="12">
        <v>0</v>
      </c>
      <c r="D30" s="63">
        <v>0</v>
      </c>
      <c r="E30" s="63">
        <v>0</v>
      </c>
      <c r="F30" s="63">
        <v>0</v>
      </c>
    </row>
    <row r="32" spans="1:6" ht="13.5" thickBot="1" x14ac:dyDescent="0.25">
      <c r="B32" t="s">
        <v>1326</v>
      </c>
      <c r="C32" s="17">
        <f>C24+C26-C28+C30</f>
        <v>5721.1100000000006</v>
      </c>
      <c r="D32" s="71">
        <f>D24+D26-D28+D30</f>
        <v>5731.58</v>
      </c>
      <c r="E32" s="71">
        <f>E24+E26-E28+E30</f>
        <v>4743.58</v>
      </c>
      <c r="F32" s="71">
        <f>F24+F26-F28+F30</f>
        <v>3755.58</v>
      </c>
    </row>
    <row r="33" ht="13.5" thickTop="1" x14ac:dyDescent="0.2"/>
    <row r="126" spans="3:6" x14ac:dyDescent="0.2">
      <c r="C126" s="9"/>
      <c r="D126" s="81"/>
      <c r="E126" s="81"/>
      <c r="F126" s="81"/>
    </row>
  </sheetData>
  <phoneticPr fontId="2" type="noConversion"/>
  <pageMargins left="0.5" right="0.5" top="1" bottom="1" header="0.5" footer="0.5"/>
  <pageSetup scale="85" firstPageNumber="26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35</vt:i4>
      </vt:variant>
    </vt:vector>
  </HeadingPairs>
  <TitlesOfParts>
    <vt:vector size="70" baseType="lpstr">
      <vt:lpstr>intro</vt:lpstr>
      <vt:lpstr>100-Genl</vt:lpstr>
      <vt:lpstr>110-Jury</vt:lpstr>
      <vt:lpstr>120-Bail Bond</vt:lpstr>
      <vt:lpstr>130-Protested Ppty Tax</vt:lpstr>
      <vt:lpstr>140-R &amp; B</vt:lpstr>
      <vt:lpstr>145-Road Damage</vt:lpstr>
      <vt:lpstr>160-Perm School</vt:lpstr>
      <vt:lpstr>180-Emer Mgm</vt:lpstr>
      <vt:lpstr>220-Constable</vt:lpstr>
      <vt:lpstr>240-Airport</vt:lpstr>
      <vt:lpstr>260-VIT</vt:lpstr>
      <vt:lpstr>270-HC Youth</vt:lpstr>
      <vt:lpstr>280-Capital Murder</vt:lpstr>
      <vt:lpstr>300-310-320-Technology</vt:lpstr>
      <vt:lpstr>330-Case Mgr</vt:lpstr>
      <vt:lpstr>410-Law Lib</vt:lpstr>
      <vt:lpstr>450-Juv Svcs</vt:lpstr>
      <vt:lpstr>460-Juv Grants</vt:lpstr>
      <vt:lpstr>470-Boot Camp</vt:lpstr>
      <vt:lpstr>490-Co Grants</vt:lpstr>
      <vt:lpstr>500-515-Records Mgm</vt:lpstr>
      <vt:lpstr>550-Security</vt:lpstr>
      <vt:lpstr>551-SubCH Sec</vt:lpstr>
      <vt:lpstr>560-Court-Init Guardianship</vt:lpstr>
      <vt:lpstr>570-6th Court of Appeals</vt:lpstr>
      <vt:lpstr>610-I &amp; S</vt:lpstr>
      <vt:lpstr>710-Perm Imp</vt:lpstr>
      <vt:lpstr>720-Jail Const</vt:lpstr>
      <vt:lpstr>730-CH Const</vt:lpstr>
      <vt:lpstr>740-Tobacco</vt:lpstr>
      <vt:lpstr>750-CH Maint</vt:lpstr>
      <vt:lpstr>890-DA Spec</vt:lpstr>
      <vt:lpstr>Recap</vt:lpstr>
      <vt:lpstr>Sal Inc</vt:lpstr>
      <vt:lpstr>'100-Genl'!Print_Area</vt:lpstr>
      <vt:lpstr>'110-Jury'!Print_Area</vt:lpstr>
      <vt:lpstr>'120-Bail Bond'!Print_Area</vt:lpstr>
      <vt:lpstr>'130-Protested Ppty Tax'!Print_Area</vt:lpstr>
      <vt:lpstr>'140-R &amp; B'!Print_Area</vt:lpstr>
      <vt:lpstr>'145-Road Damage'!Print_Area</vt:lpstr>
      <vt:lpstr>'160-Perm School'!Print_Area</vt:lpstr>
      <vt:lpstr>'180-Emer Mgm'!Print_Area</vt:lpstr>
      <vt:lpstr>'220-Constable'!Print_Area</vt:lpstr>
      <vt:lpstr>'240-Airport'!Print_Area</vt:lpstr>
      <vt:lpstr>'260-VIT'!Print_Area</vt:lpstr>
      <vt:lpstr>'270-HC Youth'!Print_Area</vt:lpstr>
      <vt:lpstr>'280-Capital Murder'!Print_Area</vt:lpstr>
      <vt:lpstr>'300-310-320-Technology'!Print_Area</vt:lpstr>
      <vt:lpstr>'330-Case Mgr'!Print_Area</vt:lpstr>
      <vt:lpstr>'410-Law Lib'!Print_Area</vt:lpstr>
      <vt:lpstr>'450-Juv Svcs'!Print_Area</vt:lpstr>
      <vt:lpstr>'460-Juv Grants'!Print_Area</vt:lpstr>
      <vt:lpstr>'470-Boot Camp'!Print_Area</vt:lpstr>
      <vt:lpstr>'490-Co Grants'!Print_Area</vt:lpstr>
      <vt:lpstr>'500-515-Records Mgm'!Print_Area</vt:lpstr>
      <vt:lpstr>'550-Security'!Print_Area</vt:lpstr>
      <vt:lpstr>'551-SubCH Sec'!Print_Area</vt:lpstr>
      <vt:lpstr>'560-Court-Init Guardianship'!Print_Area</vt:lpstr>
      <vt:lpstr>'570-6th Court of Appeals'!Print_Area</vt:lpstr>
      <vt:lpstr>'610-I &amp; S'!Print_Area</vt:lpstr>
      <vt:lpstr>'710-Perm Imp'!Print_Area</vt:lpstr>
      <vt:lpstr>'720-Jail Const'!Print_Area</vt:lpstr>
      <vt:lpstr>'730-CH Const'!Print_Area</vt:lpstr>
      <vt:lpstr>'740-Tobacco'!Print_Area</vt:lpstr>
      <vt:lpstr>'750-CH Maint'!Print_Area</vt:lpstr>
      <vt:lpstr>'890-DA Spec'!Print_Area</vt:lpstr>
      <vt:lpstr>intro!Print_Area</vt:lpstr>
      <vt:lpstr>Recap!Print_Area</vt:lpstr>
      <vt:lpstr>'490-Co Grants'!Print_Titles</vt:lpstr>
    </vt:vector>
  </TitlesOfParts>
  <Company>Harrison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</dc:creator>
  <cp:lastModifiedBy>Becky Haynes</cp:lastModifiedBy>
  <cp:lastPrinted>2020-09-02T16:14:10Z</cp:lastPrinted>
  <dcterms:created xsi:type="dcterms:W3CDTF">2009-06-03T16:17:09Z</dcterms:created>
  <dcterms:modified xsi:type="dcterms:W3CDTF">2020-09-02T16:45:19Z</dcterms:modified>
</cp:coreProperties>
</file>